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PC\Accounts\2017-18\"/>
    </mc:Choice>
  </mc:AlternateContent>
  <bookViews>
    <workbookView xWindow="0" yWindow="0" windowWidth="20490" windowHeight="7530" activeTab="4"/>
  </bookViews>
  <sheets>
    <sheet name="Income" sheetId="2" r:id="rId1"/>
    <sheet name="Expenditure" sheetId="1" r:id="rId2"/>
    <sheet name="Budget" sheetId="3" r:id="rId3"/>
    <sheet name="VAT" sheetId="4" r:id="rId4"/>
    <sheet name="Bank Rec.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M39" i="2"/>
  <c r="F110" i="1" l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E110" i="1"/>
  <c r="H30" i="5" s="1"/>
  <c r="K10" i="4"/>
  <c r="K5" i="4"/>
  <c r="J37" i="2"/>
  <c r="F39" i="2"/>
  <c r="G39" i="2"/>
  <c r="H39" i="2"/>
  <c r="J39" i="2"/>
  <c r="E39" i="2"/>
  <c r="J34" i="2"/>
  <c r="J31" i="2"/>
  <c r="J29" i="2"/>
  <c r="J25" i="2"/>
  <c r="J23" i="2"/>
  <c r="J21" i="2"/>
  <c r="J14" i="2" l="1"/>
  <c r="H29" i="5" s="1"/>
  <c r="H31" i="5" s="1"/>
  <c r="J16" i="2"/>
  <c r="E41" i="1"/>
  <c r="J12" i="2"/>
  <c r="J10" i="2"/>
  <c r="J8" i="2"/>
  <c r="J6" i="2"/>
  <c r="H10" i="5"/>
  <c r="H24" i="5" s="1"/>
  <c r="E16" i="1" l="1"/>
  <c r="E17" i="1"/>
  <c r="U18" i="1"/>
  <c r="E28" i="1"/>
  <c r="E30" i="1"/>
  <c r="F30" i="1"/>
  <c r="I31" i="1"/>
  <c r="E56" i="1"/>
  <c r="F56" i="1"/>
  <c r="J56" i="1"/>
  <c r="E57" i="1"/>
  <c r="F59" i="1"/>
  <c r="K59" i="1"/>
  <c r="F61" i="1"/>
  <c r="J61" i="1"/>
  <c r="E66" i="1"/>
  <c r="N72" i="1"/>
  <c r="E73" i="1"/>
  <c r="F79" i="1"/>
  <c r="K79" i="1"/>
  <c r="E86" i="1"/>
  <c r="E88" i="1"/>
  <c r="F88" i="1"/>
  <c r="O88" i="1"/>
  <c r="AH88" i="1"/>
  <c r="E98" i="1"/>
  <c r="F98" i="1"/>
  <c r="K98" i="1"/>
  <c r="N104" i="1" l="1"/>
  <c r="F104" i="1"/>
  <c r="E104" i="1"/>
  <c r="E33" i="4" l="1"/>
  <c r="E21" i="4"/>
  <c r="B57" i="3" l="1"/>
  <c r="B56" i="3"/>
  <c r="B55" i="3"/>
  <c r="C20" i="3"/>
  <c r="C41" i="3" l="1"/>
  <c r="C34" i="3"/>
  <c r="C30" i="3"/>
  <c r="C26" i="3"/>
  <c r="C33" i="3"/>
  <c r="D20" i="3" l="1"/>
  <c r="D21" i="3"/>
  <c r="D26" i="3"/>
  <c r="D27" i="3"/>
  <c r="D29" i="3"/>
  <c r="D30" i="3"/>
  <c r="D32" i="3"/>
  <c r="D34" i="3"/>
  <c r="D41" i="3"/>
  <c r="D46" i="3"/>
  <c r="D50" i="3"/>
  <c r="D19" i="3"/>
  <c r="B51" i="3"/>
  <c r="B14" i="3"/>
  <c r="D8" i="3"/>
  <c r="D9" i="3"/>
  <c r="D10" i="3"/>
  <c r="D11" i="3"/>
  <c r="D13" i="3"/>
  <c r="D6" i="3"/>
  <c r="C12" i="3"/>
  <c r="D12" i="3" s="1"/>
  <c r="B39" i="3"/>
  <c r="C14" i="3" l="1"/>
  <c r="C55" i="3" s="1"/>
  <c r="D14" i="3"/>
  <c r="D55" i="3" s="1"/>
  <c r="D33" i="3" l="1"/>
  <c r="C40" i="3"/>
  <c r="D40" i="3" s="1"/>
  <c r="C37" i="3"/>
  <c r="D37" i="3" s="1"/>
  <c r="C25" i="3"/>
  <c r="D25" i="3" s="1"/>
  <c r="C23" i="3"/>
  <c r="D23" i="3" s="1"/>
  <c r="C28" i="3"/>
  <c r="D28" i="3" s="1"/>
  <c r="C39" i="3"/>
  <c r="D39" i="3" s="1"/>
  <c r="C45" i="3"/>
  <c r="D45" i="3" s="1"/>
  <c r="C42" i="3"/>
  <c r="D42" i="3" s="1"/>
  <c r="C36" i="3"/>
  <c r="D36" i="3" s="1"/>
  <c r="C48" i="3"/>
  <c r="D48" i="3" s="1"/>
  <c r="C47" i="3"/>
  <c r="D47" i="3" s="1"/>
  <c r="C38" i="3"/>
  <c r="D38" i="3" s="1"/>
  <c r="C44" i="3"/>
  <c r="D44" i="3" s="1"/>
  <c r="C49" i="3"/>
  <c r="D49" i="3" s="1"/>
  <c r="C43" i="3"/>
  <c r="D43" i="3" s="1"/>
  <c r="C22" i="3"/>
  <c r="C35" i="3"/>
  <c r="D35" i="3" s="1"/>
  <c r="C31" i="3"/>
  <c r="D31" i="3" s="1"/>
  <c r="D22" i="3" l="1"/>
  <c r="C24" i="3"/>
  <c r="D24" i="3" s="1"/>
  <c r="D51" i="3" l="1"/>
  <c r="D56" i="3" s="1"/>
  <c r="D57" i="3" s="1"/>
  <c r="C51" i="3"/>
  <c r="C56" i="3" s="1"/>
  <c r="C57" i="3" s="1"/>
</calcChain>
</file>

<file path=xl/sharedStrings.xml><?xml version="1.0" encoding="utf-8"?>
<sst xmlns="http://schemas.openxmlformats.org/spreadsheetml/2006/main" count="572" uniqueCount="319">
  <si>
    <t>Dunholme Parish Council</t>
  </si>
  <si>
    <t>Date</t>
  </si>
  <si>
    <t>Payee</t>
  </si>
  <si>
    <t>Detail</t>
  </si>
  <si>
    <t>Chq. No</t>
  </si>
  <si>
    <t>Gross</t>
  </si>
  <si>
    <t>Vat</t>
  </si>
  <si>
    <t>2017/18 Expenditure</t>
  </si>
  <si>
    <t>LALC</t>
  </si>
  <si>
    <t>Annual Subscriptions</t>
  </si>
  <si>
    <t>Annual</t>
  </si>
  <si>
    <t>Subscriptions</t>
  </si>
  <si>
    <t>acis</t>
  </si>
  <si>
    <t>Annual Garage Rent</t>
  </si>
  <si>
    <t>Garage</t>
  </si>
  <si>
    <t>Rent</t>
  </si>
  <si>
    <t>Stephen Murray</t>
  </si>
  <si>
    <t>Village Maintenance/Playarea checks</t>
  </si>
  <si>
    <t xml:space="preserve">Village </t>
  </si>
  <si>
    <t>Maintenance</t>
  </si>
  <si>
    <t>Glendale</t>
  </si>
  <si>
    <t>Village Mainteance (Manor Farm tree)</t>
  </si>
  <si>
    <t>Mrs L Richardson</t>
  </si>
  <si>
    <t>Clerks Salary</t>
  </si>
  <si>
    <t>Monthly</t>
  </si>
  <si>
    <t>Salary</t>
  </si>
  <si>
    <t>Telephone/</t>
  </si>
  <si>
    <t>Broadband</t>
  </si>
  <si>
    <t>Stationery</t>
  </si>
  <si>
    <t>Mrs B Edwards</t>
  </si>
  <si>
    <t>Maintenance Facilitator Salary</t>
  </si>
  <si>
    <t>WLDC</t>
  </si>
  <si>
    <t>Precept</t>
  </si>
  <si>
    <t>Annual Traning Scheme</t>
  </si>
  <si>
    <t>Training</t>
  </si>
  <si>
    <t>Income</t>
  </si>
  <si>
    <t>Current A/c</t>
  </si>
  <si>
    <t>VOID</t>
  </si>
  <si>
    <t>Planning</t>
  </si>
  <si>
    <t>Clerks Salary &amp; expenses</t>
  </si>
  <si>
    <t>Section</t>
  </si>
  <si>
    <t>Postage</t>
  </si>
  <si>
    <t>Dunholme Village Hall</t>
  </si>
  <si>
    <t>Sports Unit Charges</t>
  </si>
  <si>
    <t>Water</t>
  </si>
  <si>
    <t>Charges</t>
  </si>
  <si>
    <t>Electricity</t>
  </si>
  <si>
    <t>Viking Direct</t>
  </si>
  <si>
    <t>Sport Unit Cleaning Supplies</t>
  </si>
  <si>
    <t>Unit</t>
  </si>
  <si>
    <t>Old School Hall</t>
  </si>
  <si>
    <t>Room Hire (APM)</t>
  </si>
  <si>
    <t>Room</t>
  </si>
  <si>
    <t>Hire</t>
  </si>
  <si>
    <t>Chattertons</t>
  </si>
  <si>
    <t>Tennis Buddie Lease Solicitor Fees</t>
  </si>
  <si>
    <t>Professional</t>
  </si>
  <si>
    <t>Fees</t>
  </si>
  <si>
    <t>Annual Training Scheme (underpayment)</t>
  </si>
  <si>
    <t>Grasscutting (April 2017)</t>
  </si>
  <si>
    <t>Cutting</t>
  </si>
  <si>
    <t>Dunholme PC</t>
  </si>
  <si>
    <t>Clerks Gratutiy Fund Payments (2016 &amp; 2017)</t>
  </si>
  <si>
    <t>Gratuity</t>
  </si>
  <si>
    <t>Fund</t>
  </si>
  <si>
    <t>Training Fee</t>
  </si>
  <si>
    <t>Planning Fee re: Tennis Buddies</t>
  </si>
  <si>
    <t>BT</t>
  </si>
  <si>
    <t>Chameleon Print</t>
  </si>
  <si>
    <t>Councillor copies of NP and CA printing</t>
  </si>
  <si>
    <t>Neighbourhood</t>
  </si>
  <si>
    <t>Plan</t>
  </si>
  <si>
    <t>Clerks Salary and Expenses</t>
  </si>
  <si>
    <t>Mileage</t>
  </si>
  <si>
    <t>Grass cutting &amp; weed killing</t>
  </si>
  <si>
    <t>Playarea</t>
  </si>
  <si>
    <t>EKM Limited</t>
  </si>
  <si>
    <t>Emergency Playpark Maintenance</t>
  </si>
  <si>
    <t>ICO</t>
  </si>
  <si>
    <t>Data Protection Registration</t>
  </si>
  <si>
    <t>DD</t>
  </si>
  <si>
    <t>Dunholme St Chads PCC</t>
  </si>
  <si>
    <t>Financial Donation</t>
  </si>
  <si>
    <t>Financial</t>
  </si>
  <si>
    <t>Donations</t>
  </si>
  <si>
    <t>James Pilford</t>
  </si>
  <si>
    <t>Emergency Tree Maintenance</t>
  </si>
  <si>
    <t>Mrs B Solly</t>
  </si>
  <si>
    <t>Internal Auditor Fee</t>
  </si>
  <si>
    <t>Audit</t>
  </si>
  <si>
    <t>Came &amp; Co.</t>
  </si>
  <si>
    <t>Annual Insurnace</t>
  </si>
  <si>
    <t>Insurance</t>
  </si>
  <si>
    <t>Cllr H Nicholls</t>
  </si>
  <si>
    <t>Training Mileage Claim</t>
  </si>
  <si>
    <t>Dunholme News</t>
  </si>
  <si>
    <t>Village Maintenance Facilitator Salary</t>
  </si>
  <si>
    <t>S. Murray</t>
  </si>
  <si>
    <t>Grass Cutting &amp; selective spraying</t>
  </si>
  <si>
    <t>Sports Unit Water Charges</t>
  </si>
  <si>
    <t>Tree Maintenance</t>
  </si>
  <si>
    <t>Bowls Hall</t>
  </si>
  <si>
    <t>HSBC</t>
  </si>
  <si>
    <t>Interest</t>
  </si>
  <si>
    <t>Reserve A/c</t>
  </si>
  <si>
    <t>2017/18 Budget</t>
  </si>
  <si>
    <t>INCOME</t>
  </si>
  <si>
    <t>PRECEPT</t>
  </si>
  <si>
    <t>PAVILION</t>
  </si>
  <si>
    <t>Football Field</t>
  </si>
  <si>
    <t>GRASS CUTTING</t>
  </si>
  <si>
    <t>OUTDOOR BOWLS CLUB</t>
  </si>
  <si>
    <t>DDIBC</t>
  </si>
  <si>
    <t>MISC</t>
  </si>
  <si>
    <t>TOTAL INCOME</t>
  </si>
  <si>
    <t>EXPENDITURE</t>
  </si>
  <si>
    <t>VILLAGE HALL</t>
  </si>
  <si>
    <t>FINANCIAL DONATIONS</t>
  </si>
  <si>
    <t>PLAY AREAS</t>
  </si>
  <si>
    <t>SPORTS UNITS/PAVILION</t>
  </si>
  <si>
    <t>SKIPS</t>
  </si>
  <si>
    <t>TENNIS COURTS</t>
  </si>
  <si>
    <t>SALARIES / PAYE</t>
  </si>
  <si>
    <t>ELECTION</t>
  </si>
  <si>
    <t>CAPITAL PROJECTS</t>
  </si>
  <si>
    <t>INSURANCE</t>
  </si>
  <si>
    <t>CCTV</t>
  </si>
  <si>
    <t>ANNUAL SUBSCRIPTIONS</t>
  </si>
  <si>
    <t>CHAIRMANS ALLOWANCE</t>
  </si>
  <si>
    <t>ANNUAL AUDIT FEE</t>
  </si>
  <si>
    <t>TRAINING</t>
  </si>
  <si>
    <t>VILLAGE MAINTENANCE</t>
  </si>
  <si>
    <t>PROFESSIONAL FEES</t>
  </si>
  <si>
    <t>TELEPHONE/BROADBAND</t>
  </si>
  <si>
    <t>GARAGE RENT</t>
  </si>
  <si>
    <t>POSTAGE</t>
  </si>
  <si>
    <t>MILEAGE</t>
  </si>
  <si>
    <t>GRATUITY FUND</t>
  </si>
  <si>
    <t>STATIONERY</t>
  </si>
  <si>
    <t>RATES</t>
  </si>
  <si>
    <t>ROOM HIRE</t>
  </si>
  <si>
    <t>SEC. 137 PAYMENTS</t>
  </si>
  <si>
    <t>TOTAL EXPENDITURE</t>
  </si>
  <si>
    <t>Budget</t>
  </si>
  <si>
    <t>Surplus/</t>
  </si>
  <si>
    <t>Loss</t>
  </si>
  <si>
    <t>Spent to date</t>
  </si>
  <si>
    <t>Received to</t>
  </si>
  <si>
    <t>Tennis Buddies - to be repaid</t>
  </si>
  <si>
    <t>PLANNING</t>
  </si>
  <si>
    <t>NEIGHBOURHOOD PLANNING</t>
  </si>
  <si>
    <t>Whites Recycling Ltd</t>
  </si>
  <si>
    <t>Septic Tank Maintenance</t>
  </si>
  <si>
    <t>M R Parker</t>
  </si>
  <si>
    <t>Cemetary Maintenance</t>
  </si>
  <si>
    <t>Sports Unit Electricity Charges</t>
  </si>
  <si>
    <t>Grass Cutting</t>
  </si>
  <si>
    <t>Dalrod</t>
  </si>
  <si>
    <t>Sports Unit Blockage Clearance</t>
  </si>
  <si>
    <t>The Old School Hall</t>
  </si>
  <si>
    <t>Meeting Room Hire</t>
  </si>
  <si>
    <t>Play Maintain</t>
  </si>
  <si>
    <t>Annual Play Park Inspections</t>
  </si>
  <si>
    <t>Lease Payment</t>
  </si>
  <si>
    <t>Jacksons Fencing</t>
  </si>
  <si>
    <t>Allwood Road Playarea fencing (50 deposit)</t>
  </si>
  <si>
    <t>Grant Thornton</t>
  </si>
  <si>
    <t>Annual external auditor fee</t>
  </si>
  <si>
    <t>Grass</t>
  </si>
  <si>
    <t>Training fee</t>
  </si>
  <si>
    <t>Search fees re: Honeyholes Lane (to be reimbursed)</t>
  </si>
  <si>
    <t>Handyman/ play area inspection fees</t>
  </si>
  <si>
    <t>Royal British Legion</t>
  </si>
  <si>
    <t>Rememberance Day Wreath</t>
  </si>
  <si>
    <t>£269.44 to be repaid by Cyden Homes</t>
  </si>
  <si>
    <t>Training costs</t>
  </si>
  <si>
    <t>St Chads PTA</t>
  </si>
  <si>
    <t>Annual Christmas event donation</t>
  </si>
  <si>
    <t>Village Handyman and playarea inspections</t>
  </si>
  <si>
    <t>Skip Hire</t>
  </si>
  <si>
    <t>Skip</t>
  </si>
  <si>
    <t>Paul Riddel Skip Hire</t>
  </si>
  <si>
    <t>Fillingham Trees</t>
  </si>
  <si>
    <t>Christmas Tree</t>
  </si>
  <si>
    <t>Training Fees</t>
  </si>
  <si>
    <t>Reimbursement for lights/flowers &amp; Sec. 104</t>
  </si>
  <si>
    <t>Assets</t>
  </si>
  <si>
    <t>Village Maintenance Facilitator</t>
  </si>
  <si>
    <t>A. Sawhney</t>
  </si>
  <si>
    <t>Chairmans Annual Allowance</t>
  </si>
  <si>
    <t>Chaimans</t>
  </si>
  <si>
    <t>Allowance</t>
  </si>
  <si>
    <t>Dunolme Old School Hall</t>
  </si>
  <si>
    <t>Website Hosting Fees</t>
  </si>
  <si>
    <t xml:space="preserve">Website </t>
  </si>
  <si>
    <t>Sports Unit Utility Charges</t>
  </si>
  <si>
    <t>2016 Christmas Tree</t>
  </si>
  <si>
    <t>Kennington Close Fencing Deposit</t>
  </si>
  <si>
    <t>Jackson Fencing</t>
  </si>
  <si>
    <t>Sec. 104 Payments</t>
  </si>
  <si>
    <t>Play Area Fencing - Material Final Balance</t>
  </si>
  <si>
    <t>CR Parrott</t>
  </si>
  <si>
    <t>DDIBC Roof Structural Survey</t>
  </si>
  <si>
    <t>Village Maintenance Facillitator Salary</t>
  </si>
  <si>
    <t>Arborez</t>
  </si>
  <si>
    <t>Oak Wood Maintenance</t>
  </si>
  <si>
    <t>Christmas Tree Chipping (2017 and 2018)</t>
  </si>
  <si>
    <t>Outdoor Bowls Club</t>
  </si>
  <si>
    <t>Sports  Unit and Green Hire</t>
  </si>
  <si>
    <t>Welton Football Club (a)</t>
  </si>
  <si>
    <t>Sports Unit and Pitch Hire</t>
  </si>
  <si>
    <t>Welton Football Club (b)</t>
  </si>
  <si>
    <t>Invoice Date</t>
  </si>
  <si>
    <t>Supplier VAT No.</t>
  </si>
  <si>
    <t>Details</t>
  </si>
  <si>
    <t>Invoice Addressed To</t>
  </si>
  <si>
    <t>VAT £</t>
  </si>
  <si>
    <t>27.02.2017</t>
  </si>
  <si>
    <t>416 3939 41</t>
  </si>
  <si>
    <t>28.02.2017</t>
  </si>
  <si>
    <t>893 0226 23</t>
  </si>
  <si>
    <t>Annual garage rent</t>
  </si>
  <si>
    <t>20.3.2017</t>
  </si>
  <si>
    <t>203 3249 52</t>
  </si>
  <si>
    <t>Village Maintenance</t>
  </si>
  <si>
    <t>12.04.2017</t>
  </si>
  <si>
    <t>28.04.2017</t>
  </si>
  <si>
    <t>253 2518 21</t>
  </si>
  <si>
    <t>Legal Fees</t>
  </si>
  <si>
    <t>02.05.2017</t>
  </si>
  <si>
    <t>30.05.2017</t>
  </si>
  <si>
    <t>31.05.2017</t>
  </si>
  <si>
    <t>12.05.2017</t>
  </si>
  <si>
    <t>351 9195 43</t>
  </si>
  <si>
    <t>Printing</t>
  </si>
  <si>
    <t>25.05.2017</t>
  </si>
  <si>
    <t>728 1946 11</t>
  </si>
  <si>
    <t>Play Park Maintenance</t>
  </si>
  <si>
    <t>03.07.2017</t>
  </si>
  <si>
    <t>16.07.2017</t>
  </si>
  <si>
    <t>214 0717 43</t>
  </si>
  <si>
    <t>31.07.2017</t>
  </si>
  <si>
    <t>19.07.2017</t>
  </si>
  <si>
    <t>923 2847 22</t>
  </si>
  <si>
    <t>08.09.2017</t>
  </si>
  <si>
    <t>178 6005 91</t>
  </si>
  <si>
    <t>Play Park Inspections</t>
  </si>
  <si>
    <t>31.08.2017</t>
  </si>
  <si>
    <t>26.09.2017</t>
  </si>
  <si>
    <t>201 104842</t>
  </si>
  <si>
    <t>Play Park Fencing</t>
  </si>
  <si>
    <t>835 5861 02</t>
  </si>
  <si>
    <t>Annual Audit</t>
  </si>
  <si>
    <t>29.09.2017</t>
  </si>
  <si>
    <t>31.10.2017</t>
  </si>
  <si>
    <t>28.10.2017</t>
  </si>
  <si>
    <t>536 1533 57</t>
  </si>
  <si>
    <t>30.11.2017</t>
  </si>
  <si>
    <t>128 3010 09</t>
  </si>
  <si>
    <t>Village Christmas Tree</t>
  </si>
  <si>
    <t>28.11.2017</t>
  </si>
  <si>
    <t>526 1845 45</t>
  </si>
  <si>
    <t>29.11.2017</t>
  </si>
  <si>
    <t>15.11.2017</t>
  </si>
  <si>
    <t>915 7347 12</t>
  </si>
  <si>
    <t>Christmas Tree Lights</t>
  </si>
  <si>
    <t>13.11.2017</t>
  </si>
  <si>
    <t>651 5277 37</t>
  </si>
  <si>
    <t>Roof Structural Report</t>
  </si>
  <si>
    <t>VAT 01.04.2017 - 31.01.2018</t>
  </si>
  <si>
    <t>Play Area Fencing - Labour Payment</t>
  </si>
  <si>
    <t>Clerks salary and expenses</t>
  </si>
  <si>
    <t>R. Bullivant</t>
  </si>
  <si>
    <t>Hammer &amp; Nails - DDIBC Roof maintenance</t>
  </si>
  <si>
    <t>2017/18 Clerks Gratuity Payment</t>
  </si>
  <si>
    <t>Refers to 2015/16 &amp; 2016/17 &amp; 2017/18</t>
  </si>
  <si>
    <t>Training Costs</t>
  </si>
  <si>
    <t>Tennis Club reimbursement</t>
  </si>
  <si>
    <t>Bank Reconciliation</t>
  </si>
  <si>
    <t>Santander (Bond)</t>
  </si>
  <si>
    <t>NS &amp; I (Gratuity Fund)</t>
  </si>
  <si>
    <t>Less: Outstanding Cheques:</t>
  </si>
  <si>
    <t>Add: Unbanked Cash</t>
  </si>
  <si>
    <t>Opening balance as at 1st April 2017</t>
  </si>
  <si>
    <t>Add: Reciepts in the year</t>
  </si>
  <si>
    <t>Less: Payments in the year</t>
  </si>
  <si>
    <t>Closing Balance per cash book</t>
  </si>
  <si>
    <t>HSBC (Current Account)</t>
  </si>
  <si>
    <t>HSBC (Bowls Hall Fund)</t>
  </si>
  <si>
    <t xml:space="preserve">Previous year Adj. </t>
  </si>
  <si>
    <t>Re: J. Atkin unbanked cheque</t>
  </si>
  <si>
    <t>834</t>
  </si>
  <si>
    <t>Chq. No.</t>
  </si>
  <si>
    <t>NS &amp; i</t>
  </si>
  <si>
    <t>Adj. previous year</t>
  </si>
  <si>
    <t>Chq No 990 not cleared - reissued as above</t>
  </si>
  <si>
    <t>LCC</t>
  </si>
  <si>
    <t>Grass Cutting Contribution</t>
  </si>
  <si>
    <t>Monthly Total</t>
  </si>
  <si>
    <t>DPC</t>
  </si>
  <si>
    <t>HMRC</t>
  </si>
  <si>
    <t>Vat Repayment</t>
  </si>
  <si>
    <t>Tennis Buddies</t>
  </si>
  <si>
    <t>Planning Fees Reimbursement</t>
  </si>
  <si>
    <t>Lease / Loan Payment</t>
  </si>
  <si>
    <t>Net balances as at 31st March 2018</t>
  </si>
  <si>
    <t>VAT 01.02.2018 - 31.03.2018</t>
  </si>
  <si>
    <t>201 1048 42</t>
  </si>
  <si>
    <t>30.10.2017</t>
  </si>
  <si>
    <t>09.11.2017</t>
  </si>
  <si>
    <t>Play Park Fencing (Mats)</t>
  </si>
  <si>
    <t>Play Park Fencing (Labour)</t>
  </si>
  <si>
    <t>28.02.2018</t>
  </si>
  <si>
    <t>13.03.2018</t>
  </si>
  <si>
    <t xml:space="preserve">536 1533 57 </t>
  </si>
  <si>
    <t>26.02.2018</t>
  </si>
  <si>
    <t>Garage Rent</t>
  </si>
  <si>
    <t>Bank balance per bank statements as at 31st March 2018</t>
  </si>
  <si>
    <t>Year ended 31st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</si>
</sst>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2" fontId="8" fillId="0" borderId="0" xfId="0" applyNumberFormat="1" applyFont="1" applyBorder="1"/>
    <xf numFmtId="2" fontId="8" fillId="0" borderId="2" xfId="0" applyNumberFormat="1" applyFont="1" applyBorder="1"/>
    <xf numFmtId="2" fontId="8" fillId="0" borderId="0" xfId="0" applyNumberFormat="1" applyFont="1"/>
    <xf numFmtId="0" fontId="8" fillId="0" borderId="2" xfId="0" applyFont="1" applyBorder="1"/>
    <xf numFmtId="2" fontId="6" fillId="0" borderId="0" xfId="0" applyNumberFormat="1" applyFont="1"/>
    <xf numFmtId="0" fontId="5" fillId="0" borderId="0" xfId="0" applyFont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14" fontId="11" fillId="0" borderId="0" xfId="0" applyNumberFormat="1" applyFont="1"/>
    <xf numFmtId="0" fontId="11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14" fontId="0" fillId="0" borderId="0" xfId="0" applyNumberFormat="1" applyFont="1"/>
    <xf numFmtId="2" fontId="0" fillId="0" borderId="0" xfId="0" applyNumberFormat="1" applyFont="1"/>
    <xf numFmtId="14" fontId="8" fillId="0" borderId="0" xfId="0" applyNumberFormat="1" applyFont="1"/>
    <xf numFmtId="14" fontId="12" fillId="0" borderId="0" xfId="0" applyNumberFormat="1" applyFont="1"/>
    <xf numFmtId="0" fontId="12" fillId="0" borderId="0" xfId="0" applyFont="1"/>
    <xf numFmtId="2" fontId="12" fillId="0" borderId="0" xfId="0" applyNumberFormat="1" applyFont="1"/>
    <xf numFmtId="0" fontId="8" fillId="0" borderId="0" xfId="0" applyFont="1" applyAlignment="1">
      <alignment horizontal="center"/>
    </xf>
    <xf numFmtId="2" fontId="0" fillId="0" borderId="0" xfId="0" applyNumberFormat="1" applyBorder="1"/>
    <xf numFmtId="0" fontId="0" fillId="0" borderId="1" xfId="0" applyBorder="1"/>
    <xf numFmtId="2" fontId="10" fillId="2" borderId="0" xfId="0" applyNumberFormat="1" applyFont="1" applyFill="1" applyAlignment="1">
      <alignment horizontal="center"/>
    </xf>
    <xf numFmtId="2" fontId="8" fillId="2" borderId="0" xfId="0" applyNumberFormat="1" applyFont="1" applyFill="1"/>
    <xf numFmtId="0" fontId="8" fillId="2" borderId="0" xfId="0" applyFont="1" applyFill="1"/>
    <xf numFmtId="2" fontId="8" fillId="2" borderId="1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18" workbookViewId="0">
      <selection activeCell="M40" sqref="M40"/>
    </sheetView>
  </sheetViews>
  <sheetFormatPr defaultRowHeight="15" x14ac:dyDescent="0.25"/>
  <cols>
    <col min="1" max="1" width="11.28515625" customWidth="1"/>
    <col min="2" max="2" width="23" bestFit="1" customWidth="1"/>
    <col min="3" max="3" width="28.5703125" bestFit="1" customWidth="1"/>
    <col min="4" max="4" width="2.42578125" customWidth="1"/>
    <col min="5" max="5" width="14.140625" customWidth="1"/>
    <col min="6" max="6" width="12.7109375" customWidth="1"/>
    <col min="7" max="7" width="11.5703125" bestFit="1" customWidth="1"/>
    <col min="10" max="10" width="13.42578125" bestFit="1" customWidth="1"/>
  </cols>
  <sheetData>
    <row r="1" spans="1:17" s="15" customFormat="1" x14ac:dyDescent="0.25">
      <c r="A1" s="15" t="s">
        <v>0</v>
      </c>
      <c r="E1" s="16"/>
      <c r="F1" s="16" t="s">
        <v>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15" customFormat="1" x14ac:dyDescent="0.25">
      <c r="E2" s="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7" customFormat="1" x14ac:dyDescent="0.25">
      <c r="E3" s="18" t="s">
        <v>36</v>
      </c>
      <c r="F3" s="18" t="s">
        <v>101</v>
      </c>
      <c r="G3" s="18" t="s">
        <v>104</v>
      </c>
      <c r="H3" s="18" t="s">
        <v>293</v>
      </c>
      <c r="I3" s="18"/>
      <c r="J3" s="55" t="s">
        <v>298</v>
      </c>
      <c r="K3" s="18"/>
      <c r="L3" s="18"/>
      <c r="M3" s="18"/>
      <c r="N3" s="18"/>
      <c r="O3" s="18"/>
      <c r="P3" s="18"/>
      <c r="Q3" s="18"/>
    </row>
    <row r="4" spans="1:17" x14ac:dyDescent="0.25">
      <c r="A4" s="6">
        <v>42828</v>
      </c>
      <c r="B4" t="s">
        <v>31</v>
      </c>
      <c r="C4" t="s">
        <v>32</v>
      </c>
      <c r="E4" s="7">
        <v>39000</v>
      </c>
      <c r="F4" s="7"/>
      <c r="G4" s="7"/>
      <c r="H4" s="7"/>
      <c r="I4" s="7"/>
      <c r="J4" s="56"/>
      <c r="K4" s="7"/>
      <c r="L4" s="7"/>
      <c r="M4" s="7"/>
      <c r="N4" s="7"/>
      <c r="O4" s="7"/>
      <c r="P4" s="7"/>
      <c r="Q4" s="7"/>
    </row>
    <row r="5" spans="1:17" x14ac:dyDescent="0.25">
      <c r="A5" s="6">
        <v>42829</v>
      </c>
      <c r="B5" t="s">
        <v>102</v>
      </c>
      <c r="C5" t="s">
        <v>103</v>
      </c>
      <c r="E5" s="7"/>
      <c r="F5" s="7"/>
      <c r="G5" s="7">
        <v>0.48</v>
      </c>
      <c r="H5" s="7"/>
      <c r="I5" s="7"/>
      <c r="J5" s="56"/>
      <c r="K5" s="7"/>
      <c r="L5" s="7"/>
      <c r="M5" s="7"/>
      <c r="N5" s="7"/>
      <c r="O5" s="7"/>
      <c r="P5" s="7"/>
      <c r="Q5" s="7"/>
    </row>
    <row r="6" spans="1:17" x14ac:dyDescent="0.25">
      <c r="A6" s="6">
        <v>42832</v>
      </c>
      <c r="B6" t="s">
        <v>102</v>
      </c>
      <c r="C6" t="s">
        <v>103</v>
      </c>
      <c r="E6" s="7"/>
      <c r="F6" s="7">
        <v>0.23</v>
      </c>
      <c r="G6" s="7"/>
      <c r="H6" s="7"/>
      <c r="I6" s="7"/>
      <c r="J6" s="56">
        <f>E4+G5+F6</f>
        <v>39000.710000000006</v>
      </c>
      <c r="K6" s="7"/>
      <c r="L6" s="7"/>
      <c r="M6" s="7"/>
      <c r="N6" s="7"/>
      <c r="O6" s="7"/>
      <c r="P6" s="7"/>
      <c r="Q6" s="7"/>
    </row>
    <row r="7" spans="1:17" x14ac:dyDescent="0.25">
      <c r="A7" s="6">
        <v>42859</v>
      </c>
      <c r="B7" t="s">
        <v>102</v>
      </c>
      <c r="C7" t="s">
        <v>103</v>
      </c>
      <c r="E7" s="7"/>
      <c r="F7" s="7"/>
      <c r="G7" s="7">
        <v>0.46</v>
      </c>
      <c r="H7" s="7"/>
      <c r="I7" s="7"/>
      <c r="J7" s="56"/>
      <c r="K7" s="7"/>
      <c r="L7" s="7"/>
      <c r="M7" s="7"/>
      <c r="N7" s="7"/>
      <c r="O7" s="7"/>
      <c r="P7" s="7"/>
      <c r="Q7" s="7"/>
    </row>
    <row r="8" spans="1:17" x14ac:dyDescent="0.25">
      <c r="A8" s="6">
        <v>42862</v>
      </c>
      <c r="B8" t="s">
        <v>102</v>
      </c>
      <c r="C8" t="s">
        <v>103</v>
      </c>
      <c r="E8" s="7"/>
      <c r="F8" s="7">
        <v>0.22</v>
      </c>
      <c r="G8" s="7"/>
      <c r="H8" s="7"/>
      <c r="I8" s="7"/>
      <c r="J8" s="56">
        <f>G7+F8</f>
        <v>0.68</v>
      </c>
      <c r="K8" s="7"/>
      <c r="L8" s="7"/>
      <c r="M8" s="7"/>
      <c r="N8" s="7"/>
      <c r="O8" s="7"/>
      <c r="P8" s="7"/>
      <c r="Q8" s="7"/>
    </row>
    <row r="9" spans="1:17" x14ac:dyDescent="0.25">
      <c r="A9" s="6">
        <v>42890</v>
      </c>
      <c r="B9" t="s">
        <v>102</v>
      </c>
      <c r="C9" t="s">
        <v>103</v>
      </c>
      <c r="E9" s="7"/>
      <c r="F9" s="7"/>
      <c r="G9" s="7">
        <v>0.48</v>
      </c>
      <c r="H9" s="7"/>
      <c r="I9" s="7"/>
      <c r="J9" s="57"/>
      <c r="K9" s="7"/>
      <c r="L9" s="7"/>
      <c r="M9" s="7"/>
      <c r="N9" s="7"/>
      <c r="O9" s="7"/>
      <c r="P9" s="7"/>
      <c r="Q9" s="7"/>
    </row>
    <row r="10" spans="1:17" x14ac:dyDescent="0.25">
      <c r="A10" s="6">
        <v>42893</v>
      </c>
      <c r="B10" t="s">
        <v>102</v>
      </c>
      <c r="C10" t="s">
        <v>103</v>
      </c>
      <c r="E10" s="7"/>
      <c r="F10" s="7">
        <v>0.23</v>
      </c>
      <c r="G10" s="7"/>
      <c r="H10" s="7"/>
      <c r="I10" s="7"/>
      <c r="J10" s="56">
        <f>G9+F10</f>
        <v>0.71</v>
      </c>
      <c r="K10" s="7"/>
      <c r="L10" s="7"/>
      <c r="M10" s="7"/>
      <c r="N10" s="7"/>
      <c r="O10" s="7"/>
      <c r="P10" s="7"/>
      <c r="Q10" s="7"/>
    </row>
    <row r="11" spans="1:17" x14ac:dyDescent="0.25">
      <c r="A11" s="6">
        <v>42920</v>
      </c>
      <c r="B11" t="s">
        <v>102</v>
      </c>
      <c r="C11" t="s">
        <v>103</v>
      </c>
      <c r="E11" s="7"/>
      <c r="F11" s="7"/>
      <c r="G11" s="7">
        <v>0.46</v>
      </c>
      <c r="H11" s="7"/>
      <c r="I11" s="7"/>
      <c r="J11" s="56"/>
      <c r="K11" s="7"/>
      <c r="L11" s="7"/>
      <c r="M11" s="7"/>
      <c r="N11" s="7"/>
      <c r="O11" s="7"/>
      <c r="P11" s="7"/>
      <c r="Q11" s="7"/>
    </row>
    <row r="12" spans="1:17" x14ac:dyDescent="0.25">
      <c r="A12" s="6">
        <v>42923</v>
      </c>
      <c r="B12" t="s">
        <v>102</v>
      </c>
      <c r="C12" t="s">
        <v>103</v>
      </c>
      <c r="E12" s="7"/>
      <c r="F12" s="7">
        <v>0.22</v>
      </c>
      <c r="G12" s="7"/>
      <c r="H12" s="7"/>
      <c r="I12" s="7"/>
      <c r="J12" s="56">
        <f>G11+F12</f>
        <v>0.68</v>
      </c>
      <c r="K12" s="7"/>
      <c r="L12" s="7"/>
      <c r="M12" s="7"/>
      <c r="N12" s="7"/>
      <c r="O12" s="7"/>
      <c r="P12" s="7"/>
      <c r="Q12" s="7"/>
    </row>
    <row r="13" spans="1:17" x14ac:dyDescent="0.25">
      <c r="A13" s="6">
        <v>42951</v>
      </c>
      <c r="B13" t="s">
        <v>102</v>
      </c>
      <c r="C13" t="s">
        <v>103</v>
      </c>
      <c r="E13" s="7"/>
      <c r="F13" s="7"/>
      <c r="G13" s="7">
        <v>0.48</v>
      </c>
      <c r="H13" s="7"/>
      <c r="I13" s="7"/>
      <c r="J13" s="56"/>
      <c r="K13" s="7"/>
      <c r="L13" s="7"/>
      <c r="M13" s="7"/>
      <c r="N13" s="7"/>
      <c r="O13" s="7"/>
      <c r="P13" s="7"/>
      <c r="Q13" s="7"/>
    </row>
    <row r="14" spans="1:17" x14ac:dyDescent="0.25">
      <c r="A14" s="6">
        <v>42954</v>
      </c>
      <c r="B14" t="s">
        <v>102</v>
      </c>
      <c r="C14" t="s">
        <v>103</v>
      </c>
      <c r="E14" s="7"/>
      <c r="F14" s="7">
        <v>0.23</v>
      </c>
      <c r="G14" s="7"/>
      <c r="H14" s="7"/>
      <c r="I14" s="7"/>
      <c r="J14" s="56">
        <f>G13+F14</f>
        <v>0.71</v>
      </c>
      <c r="K14" s="7"/>
      <c r="L14" s="7"/>
      <c r="M14" s="7"/>
      <c r="N14" s="7"/>
      <c r="O14" s="7"/>
      <c r="P14" s="7"/>
      <c r="Q14" s="7"/>
    </row>
    <row r="15" spans="1:17" x14ac:dyDescent="0.25">
      <c r="A15" s="6">
        <v>42982</v>
      </c>
      <c r="B15" t="s">
        <v>102</v>
      </c>
      <c r="C15" t="s">
        <v>103</v>
      </c>
      <c r="E15" s="7"/>
      <c r="F15" s="7"/>
      <c r="G15" s="7">
        <v>0.48</v>
      </c>
      <c r="H15" s="7"/>
      <c r="I15" s="7"/>
      <c r="J15" s="56"/>
      <c r="K15" s="7"/>
      <c r="L15" s="7"/>
      <c r="M15" s="7"/>
      <c r="N15" s="7"/>
      <c r="O15" s="7"/>
      <c r="P15" s="7"/>
      <c r="Q15" s="7"/>
    </row>
    <row r="16" spans="1:17" x14ac:dyDescent="0.25">
      <c r="A16" s="6">
        <v>42985</v>
      </c>
      <c r="B16" t="s">
        <v>102</v>
      </c>
      <c r="C16" t="s">
        <v>103</v>
      </c>
      <c r="E16" s="7"/>
      <c r="F16" s="7">
        <v>0.23</v>
      </c>
      <c r="G16" s="7"/>
      <c r="H16" s="7"/>
      <c r="I16" s="7"/>
      <c r="J16" s="56">
        <f>G15+F16</f>
        <v>0.71</v>
      </c>
      <c r="K16" s="7"/>
      <c r="L16" s="7"/>
      <c r="M16" s="7"/>
      <c r="N16" s="7"/>
      <c r="O16" s="7"/>
      <c r="P16" s="7"/>
      <c r="Q16" s="7"/>
    </row>
    <row r="17" spans="1:17" x14ac:dyDescent="0.25">
      <c r="A17" s="6">
        <v>42990</v>
      </c>
      <c r="B17" t="s">
        <v>112</v>
      </c>
      <c r="C17" t="s">
        <v>163</v>
      </c>
      <c r="E17" s="7">
        <v>6000</v>
      </c>
      <c r="F17" s="7"/>
      <c r="G17" s="7"/>
      <c r="H17" s="7"/>
      <c r="I17" s="7"/>
      <c r="J17" s="56"/>
      <c r="K17" s="7"/>
      <c r="L17" s="7"/>
      <c r="M17" s="7"/>
      <c r="N17" s="7"/>
      <c r="O17" s="7"/>
      <c r="P17" s="7"/>
      <c r="Q17" s="7"/>
    </row>
    <row r="18" spans="1:17" x14ac:dyDescent="0.25">
      <c r="A18" s="6">
        <v>42992</v>
      </c>
      <c r="B18" t="s">
        <v>207</v>
      </c>
      <c r="C18" t="s">
        <v>208</v>
      </c>
      <c r="E18" s="7">
        <v>201</v>
      </c>
      <c r="F18" s="7"/>
      <c r="G18" s="7"/>
      <c r="H18" s="7"/>
      <c r="I18" s="7"/>
      <c r="J18" s="56"/>
      <c r="K18" s="7"/>
      <c r="L18" s="7"/>
      <c r="M18" s="7"/>
      <c r="N18" s="7"/>
      <c r="O18" s="7"/>
      <c r="P18" s="7"/>
      <c r="Q18" s="7"/>
    </row>
    <row r="19" spans="1:17" x14ac:dyDescent="0.25">
      <c r="A19" s="6">
        <v>42999</v>
      </c>
      <c r="B19" t="s">
        <v>209</v>
      </c>
      <c r="C19" t="s">
        <v>210</v>
      </c>
      <c r="E19" s="7">
        <v>250</v>
      </c>
      <c r="F19" s="7"/>
      <c r="G19" s="7"/>
      <c r="H19" s="7"/>
      <c r="I19" s="7"/>
      <c r="J19" s="56"/>
      <c r="K19" s="7"/>
      <c r="L19" s="7"/>
      <c r="M19" s="7"/>
      <c r="N19" s="7"/>
      <c r="O19" s="7"/>
      <c r="P19" s="7"/>
      <c r="Q19" s="7"/>
    </row>
    <row r="20" spans="1:17" x14ac:dyDescent="0.25">
      <c r="A20" s="6">
        <v>43012</v>
      </c>
      <c r="B20" t="s">
        <v>102</v>
      </c>
      <c r="C20" t="s">
        <v>103</v>
      </c>
      <c r="E20" s="7"/>
      <c r="F20" s="7"/>
      <c r="G20" s="7">
        <v>0.46</v>
      </c>
      <c r="H20" s="7"/>
      <c r="I20" s="7"/>
      <c r="J20" s="56"/>
      <c r="K20" s="7"/>
      <c r="L20" s="7"/>
      <c r="M20" s="7"/>
      <c r="N20" s="7"/>
      <c r="O20" s="7"/>
      <c r="P20" s="7"/>
      <c r="Q20" s="7"/>
    </row>
    <row r="21" spans="1:17" x14ac:dyDescent="0.25">
      <c r="A21" s="6">
        <v>43015</v>
      </c>
      <c r="B21" t="s">
        <v>102</v>
      </c>
      <c r="C21" t="s">
        <v>103</v>
      </c>
      <c r="E21" s="7"/>
      <c r="F21" s="7">
        <v>0.22</v>
      </c>
      <c r="G21" s="7"/>
      <c r="H21" s="7"/>
      <c r="I21" s="7"/>
      <c r="J21" s="56">
        <f>E17+E18+E19+G20+F21</f>
        <v>6451.68</v>
      </c>
      <c r="K21" s="7"/>
      <c r="L21" s="7"/>
      <c r="M21" s="7"/>
      <c r="N21" s="7"/>
      <c r="O21" s="7"/>
      <c r="P21" s="7"/>
      <c r="Q21" s="7"/>
    </row>
    <row r="22" spans="1:17" x14ac:dyDescent="0.25">
      <c r="A22" s="6">
        <v>43043</v>
      </c>
      <c r="B22" t="s">
        <v>102</v>
      </c>
      <c r="C22" t="s">
        <v>103</v>
      </c>
      <c r="E22" s="7"/>
      <c r="F22" s="7"/>
      <c r="G22" s="7">
        <v>0.48</v>
      </c>
      <c r="H22" s="7"/>
      <c r="I22" s="7"/>
      <c r="J22" s="56"/>
      <c r="K22" s="7"/>
      <c r="L22" s="7"/>
      <c r="M22" s="7"/>
      <c r="N22" s="7"/>
      <c r="O22" s="7"/>
      <c r="P22" s="7"/>
      <c r="Q22" s="7"/>
    </row>
    <row r="23" spans="1:17" x14ac:dyDescent="0.25">
      <c r="A23" s="6">
        <v>43046</v>
      </c>
      <c r="B23" t="s">
        <v>102</v>
      </c>
      <c r="C23" t="s">
        <v>103</v>
      </c>
      <c r="E23" s="7"/>
      <c r="F23" s="7">
        <v>0.23</v>
      </c>
      <c r="G23" s="7"/>
      <c r="H23" s="7"/>
      <c r="I23" s="7"/>
      <c r="J23" s="56">
        <f>G22+F23</f>
        <v>0.71</v>
      </c>
      <c r="K23" s="7"/>
      <c r="L23" s="7"/>
      <c r="M23" s="7"/>
      <c r="N23" s="7"/>
      <c r="O23" s="7"/>
      <c r="P23" s="7"/>
      <c r="Q23" s="7"/>
    </row>
    <row r="24" spans="1:17" x14ac:dyDescent="0.25">
      <c r="A24" s="6">
        <v>43073</v>
      </c>
      <c r="B24" t="s">
        <v>102</v>
      </c>
      <c r="C24" t="s">
        <v>103</v>
      </c>
      <c r="E24" s="7"/>
      <c r="F24" s="7"/>
      <c r="G24" s="7">
        <v>0.5</v>
      </c>
      <c r="H24" s="7"/>
      <c r="I24" s="7"/>
      <c r="J24" s="56"/>
      <c r="K24" s="7"/>
      <c r="L24" s="7"/>
      <c r="M24" s="7"/>
      <c r="N24" s="7"/>
      <c r="O24" s="7"/>
      <c r="P24" s="7"/>
      <c r="Q24" s="7"/>
    </row>
    <row r="25" spans="1:17" x14ac:dyDescent="0.25">
      <c r="A25" s="6">
        <v>43076</v>
      </c>
      <c r="B25" t="s">
        <v>102</v>
      </c>
      <c r="C25" t="s">
        <v>103</v>
      </c>
      <c r="E25" s="7"/>
      <c r="F25" s="7">
        <v>0.25</v>
      </c>
      <c r="G25" s="7"/>
      <c r="H25" s="7"/>
      <c r="I25" s="7"/>
      <c r="J25" s="56">
        <f>G24+F25</f>
        <v>0.75</v>
      </c>
      <c r="K25" s="7"/>
      <c r="L25" s="7"/>
      <c r="M25" s="7"/>
      <c r="N25" s="7"/>
      <c r="O25" s="7"/>
      <c r="P25" s="7"/>
      <c r="Q25" s="7"/>
    </row>
    <row r="26" spans="1:17" x14ac:dyDescent="0.25">
      <c r="A26" s="6">
        <v>43089</v>
      </c>
      <c r="B26" t="s">
        <v>211</v>
      </c>
      <c r="C26" t="s">
        <v>210</v>
      </c>
      <c r="E26" s="7">
        <v>250</v>
      </c>
      <c r="F26" s="7"/>
      <c r="G26" s="7"/>
      <c r="H26" s="7"/>
      <c r="I26" s="7"/>
      <c r="J26" s="56"/>
      <c r="K26" s="7"/>
      <c r="L26" s="7"/>
      <c r="M26" s="7"/>
      <c r="N26" s="7"/>
      <c r="O26" s="7"/>
      <c r="P26" s="7"/>
      <c r="Q26" s="7"/>
    </row>
    <row r="27" spans="1:17" x14ac:dyDescent="0.25">
      <c r="A27" s="6">
        <v>43101</v>
      </c>
      <c r="B27" t="s">
        <v>293</v>
      </c>
      <c r="C27" t="s">
        <v>103</v>
      </c>
      <c r="E27" s="7"/>
      <c r="F27" s="7"/>
      <c r="G27" s="7"/>
      <c r="H27" s="7">
        <v>6.38</v>
      </c>
      <c r="I27" s="7"/>
      <c r="J27" s="56"/>
      <c r="K27" s="7"/>
      <c r="L27" s="7"/>
      <c r="M27" s="7"/>
      <c r="N27" s="7"/>
      <c r="O27" s="7"/>
      <c r="P27" s="7"/>
      <c r="Q27" s="7"/>
    </row>
    <row r="28" spans="1:17" x14ac:dyDescent="0.25">
      <c r="A28" s="6">
        <v>43104</v>
      </c>
      <c r="B28" t="s">
        <v>102</v>
      </c>
      <c r="C28" t="s">
        <v>103</v>
      </c>
      <c r="E28" s="7"/>
      <c r="F28" s="7"/>
      <c r="G28" s="7">
        <v>0.84</v>
      </c>
      <c r="H28" s="7"/>
      <c r="I28" s="7"/>
      <c r="J28" s="56"/>
      <c r="K28" s="7"/>
      <c r="L28" s="7"/>
      <c r="M28" s="7"/>
      <c r="N28" s="7"/>
      <c r="O28" s="7"/>
      <c r="P28" s="7"/>
      <c r="Q28" s="7"/>
    </row>
    <row r="29" spans="1:17" x14ac:dyDescent="0.25">
      <c r="A29" s="6">
        <v>43107</v>
      </c>
      <c r="B29" t="s">
        <v>102</v>
      </c>
      <c r="C29" t="s">
        <v>103</v>
      </c>
      <c r="E29" s="7"/>
      <c r="F29" s="7">
        <v>0.4</v>
      </c>
      <c r="G29" s="7"/>
      <c r="H29" s="7"/>
      <c r="I29" s="7"/>
      <c r="J29" s="56">
        <f>E26+G28+F29+H27</f>
        <v>257.62</v>
      </c>
      <c r="K29" s="7"/>
      <c r="L29" s="7"/>
      <c r="M29" s="7"/>
      <c r="N29" s="7"/>
      <c r="O29" s="7"/>
      <c r="P29" s="7"/>
      <c r="Q29" s="7"/>
    </row>
    <row r="30" spans="1:17" x14ac:dyDescent="0.25">
      <c r="A30" s="6">
        <v>43104</v>
      </c>
      <c r="B30" t="s">
        <v>102</v>
      </c>
      <c r="C30" t="s">
        <v>103</v>
      </c>
      <c r="E30" s="7"/>
      <c r="F30" s="7"/>
      <c r="G30" s="7">
        <v>0.84</v>
      </c>
      <c r="H30" s="7"/>
      <c r="I30" s="7"/>
      <c r="J30" s="56"/>
      <c r="K30" s="7"/>
      <c r="L30" s="7"/>
      <c r="M30" s="7"/>
      <c r="N30" s="7"/>
      <c r="O30" s="7"/>
      <c r="P30" s="7"/>
      <c r="Q30" s="7"/>
    </row>
    <row r="31" spans="1:17" x14ac:dyDescent="0.25">
      <c r="A31" s="6">
        <v>43138</v>
      </c>
      <c r="B31" t="s">
        <v>102</v>
      </c>
      <c r="C31" t="s">
        <v>103</v>
      </c>
      <c r="E31" s="7"/>
      <c r="F31" s="7">
        <v>0.4</v>
      </c>
      <c r="G31" s="7"/>
      <c r="H31" s="7"/>
      <c r="I31" s="7"/>
      <c r="J31" s="56">
        <f>G30+F31</f>
        <v>1.24</v>
      </c>
      <c r="K31" s="7"/>
      <c r="L31" s="7"/>
      <c r="M31" s="7"/>
      <c r="N31" s="7"/>
      <c r="O31" s="7"/>
      <c r="P31" s="7"/>
      <c r="Q31" s="7"/>
    </row>
    <row r="32" spans="1:17" x14ac:dyDescent="0.25">
      <c r="A32" s="6">
        <v>43144</v>
      </c>
      <c r="B32" t="s">
        <v>296</v>
      </c>
      <c r="C32" t="s">
        <v>297</v>
      </c>
      <c r="E32" s="7">
        <v>437.98</v>
      </c>
      <c r="F32" s="7"/>
      <c r="G32" s="7"/>
      <c r="H32" s="7"/>
      <c r="I32" s="7"/>
      <c r="J32" s="56"/>
      <c r="K32" s="7"/>
      <c r="L32" s="7"/>
      <c r="M32" s="7"/>
      <c r="N32" s="7"/>
      <c r="O32" s="7"/>
      <c r="P32" s="7"/>
      <c r="Q32" s="7"/>
    </row>
    <row r="33" spans="1:17" x14ac:dyDescent="0.25">
      <c r="A33" s="6">
        <v>43163</v>
      </c>
      <c r="B33" t="s">
        <v>102</v>
      </c>
      <c r="C33" t="s">
        <v>103</v>
      </c>
      <c r="E33" s="7"/>
      <c r="F33" s="7"/>
      <c r="G33" s="7">
        <v>0.76</v>
      </c>
      <c r="H33" s="7"/>
      <c r="I33" s="7"/>
      <c r="J33" s="56"/>
      <c r="K33" s="7"/>
      <c r="L33" s="7"/>
      <c r="M33" s="7"/>
      <c r="N33" s="7"/>
      <c r="O33" s="7"/>
      <c r="P33" s="7"/>
      <c r="Q33" s="7"/>
    </row>
    <row r="34" spans="1:17" x14ac:dyDescent="0.25">
      <c r="A34" s="6">
        <v>43166</v>
      </c>
      <c r="B34" t="s">
        <v>102</v>
      </c>
      <c r="C34" t="s">
        <v>103</v>
      </c>
      <c r="E34" s="7"/>
      <c r="F34" s="7">
        <v>0.36</v>
      </c>
      <c r="G34" s="7"/>
      <c r="H34" s="7"/>
      <c r="I34" s="7"/>
      <c r="J34" s="56">
        <f>E32+G33+F34</f>
        <v>439.1</v>
      </c>
      <c r="K34" s="7"/>
      <c r="L34" s="7"/>
      <c r="M34" s="7"/>
      <c r="N34" s="7"/>
      <c r="O34" s="7"/>
      <c r="P34" s="7"/>
      <c r="Q34" s="7"/>
    </row>
    <row r="35" spans="1:17" x14ac:dyDescent="0.25">
      <c r="A35" s="6">
        <v>43168</v>
      </c>
      <c r="B35" t="s">
        <v>300</v>
      </c>
      <c r="C35" t="s">
        <v>301</v>
      </c>
      <c r="E35" s="7">
        <v>3575.66</v>
      </c>
      <c r="F35" s="7"/>
      <c r="G35" s="7"/>
      <c r="H35" s="7"/>
      <c r="I35" s="7"/>
      <c r="J35" s="56"/>
      <c r="K35" s="7"/>
      <c r="L35" s="7"/>
      <c r="M35" s="7"/>
      <c r="N35" s="7"/>
      <c r="O35" s="7"/>
      <c r="P35" s="7"/>
      <c r="Q35" s="7"/>
    </row>
    <row r="36" spans="1:17" x14ac:dyDescent="0.25">
      <c r="A36" s="6">
        <v>43168</v>
      </c>
      <c r="B36" t="s">
        <v>302</v>
      </c>
      <c r="C36" t="s">
        <v>303</v>
      </c>
      <c r="E36" s="7">
        <v>5882.5</v>
      </c>
      <c r="F36" s="7"/>
      <c r="G36" s="7"/>
      <c r="H36" s="7"/>
      <c r="I36" s="7"/>
      <c r="J36" s="56"/>
      <c r="K36" s="7"/>
      <c r="L36" s="7"/>
      <c r="M36" s="7"/>
      <c r="N36" s="7"/>
      <c r="O36" s="7"/>
      <c r="P36" s="7"/>
      <c r="Q36" s="7"/>
    </row>
    <row r="37" spans="1:17" x14ac:dyDescent="0.25">
      <c r="A37" s="6">
        <v>43173</v>
      </c>
      <c r="B37" t="s">
        <v>112</v>
      </c>
      <c r="C37" t="s">
        <v>304</v>
      </c>
      <c r="E37" s="7">
        <v>8500</v>
      </c>
      <c r="F37" s="7"/>
      <c r="G37" s="7"/>
      <c r="H37" s="7"/>
      <c r="I37" s="7"/>
      <c r="J37" s="56">
        <f>SUM(E35:E37)</f>
        <v>17958.16</v>
      </c>
      <c r="K37" s="7"/>
      <c r="L37" s="7"/>
      <c r="M37" s="7"/>
      <c r="N37" s="7"/>
      <c r="O37" s="7"/>
      <c r="P37" s="7"/>
      <c r="Q37" s="7"/>
    </row>
    <row r="38" spans="1:17" x14ac:dyDescent="0.25">
      <c r="A38" s="6"/>
      <c r="E38" s="7"/>
      <c r="F38" s="7"/>
      <c r="G38" s="7"/>
      <c r="H38" s="7"/>
      <c r="I38" s="7"/>
      <c r="J38" s="56"/>
      <c r="K38" s="7"/>
      <c r="L38" s="7"/>
      <c r="M38" s="7"/>
      <c r="N38" s="7"/>
      <c r="O38" s="7"/>
      <c r="P38" s="7"/>
      <c r="Q38" s="7"/>
    </row>
    <row r="39" spans="1:17" ht="15.75" thickBot="1" x14ac:dyDescent="0.3">
      <c r="E39" s="14">
        <f>SUM(E4:E38)</f>
        <v>64097.14</v>
      </c>
      <c r="F39" s="14">
        <f t="shared" ref="F39:J39" si="0">SUM(F4:F38)</f>
        <v>3.2199999999999998</v>
      </c>
      <c r="G39" s="14">
        <f t="shared" si="0"/>
        <v>6.7199999999999989</v>
      </c>
      <c r="H39" s="14">
        <f t="shared" si="0"/>
        <v>6.38</v>
      </c>
      <c r="I39" s="14"/>
      <c r="J39" s="58">
        <f t="shared" si="0"/>
        <v>64113.460000000006</v>
      </c>
      <c r="K39" s="7"/>
      <c r="L39" s="7"/>
      <c r="M39" s="7">
        <f>J39-38900</f>
        <v>25213.460000000006</v>
      </c>
      <c r="N39" s="7"/>
      <c r="O39" s="7"/>
      <c r="P39" s="7"/>
      <c r="Q39" s="7"/>
    </row>
    <row r="40" spans="1:1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7"/>
  <sheetViews>
    <sheetView topLeftCell="Q3" workbookViewId="0">
      <pane ySplit="2" topLeftCell="A99" activePane="bottomLeft" state="frozen"/>
      <selection activeCell="A3" sqref="A3"/>
      <selection pane="bottomLeft" activeCell="AH117" sqref="AH117"/>
    </sheetView>
  </sheetViews>
  <sheetFormatPr defaultRowHeight="15" x14ac:dyDescent="0.25"/>
  <cols>
    <col min="1" max="1" width="11.42578125" customWidth="1"/>
    <col min="2" max="2" width="24.42578125" bestFit="1" customWidth="1"/>
    <col min="3" max="3" width="48" customWidth="1"/>
    <col min="5" max="6" width="9.140625" style="7"/>
    <col min="7" max="7" width="12.85546875" style="7" bestFit="1" customWidth="1"/>
    <col min="8" max="8" width="9.140625" style="7"/>
    <col min="9" max="9" width="12.5703125" style="7" bestFit="1" customWidth="1"/>
    <col min="10" max="11" width="12.5703125" style="7" customWidth="1"/>
    <col min="12" max="12" width="9.140625" style="7"/>
    <col min="13" max="13" width="11.42578125" style="7" bestFit="1" customWidth="1"/>
    <col min="14" max="14" width="10.140625" style="7" bestFit="1" customWidth="1"/>
    <col min="15" max="15" width="10.140625" style="7" customWidth="1"/>
    <col min="16" max="20" width="9.140625" style="7"/>
    <col min="21" max="21" width="12.7109375" bestFit="1" customWidth="1"/>
    <col min="23" max="23" width="12" bestFit="1" customWidth="1"/>
    <col min="25" max="25" width="15.140625" bestFit="1" customWidth="1"/>
    <col min="31" max="31" width="10.28515625" bestFit="1" customWidth="1"/>
    <col min="32" max="32" width="10.28515625" customWidth="1"/>
  </cols>
  <sheetData>
    <row r="1" spans="1:35" x14ac:dyDescent="0.25">
      <c r="A1" s="1" t="s">
        <v>0</v>
      </c>
      <c r="B1" s="2"/>
      <c r="C1" s="1"/>
      <c r="D1" s="8" t="s">
        <v>7</v>
      </c>
      <c r="E1" s="4"/>
      <c r="F1" s="5"/>
    </row>
    <row r="2" spans="1:35" x14ac:dyDescent="0.25">
      <c r="A2" s="2"/>
      <c r="B2" s="2"/>
      <c r="C2" s="2"/>
      <c r="D2" s="3"/>
      <c r="E2" s="5"/>
      <c r="F2" s="5"/>
    </row>
    <row r="3" spans="1:35" s="13" customFormat="1" x14ac:dyDescent="0.25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2" t="s">
        <v>10</v>
      </c>
      <c r="H3" s="12" t="s">
        <v>14</v>
      </c>
      <c r="I3" s="12" t="s">
        <v>18</v>
      </c>
      <c r="J3" s="12" t="s">
        <v>168</v>
      </c>
      <c r="K3" s="12" t="s">
        <v>75</v>
      </c>
      <c r="L3" s="12" t="s">
        <v>24</v>
      </c>
      <c r="M3" s="12" t="s">
        <v>26</v>
      </c>
      <c r="N3" s="12" t="s">
        <v>28</v>
      </c>
      <c r="O3" s="12" t="s">
        <v>41</v>
      </c>
      <c r="P3" s="12" t="s">
        <v>34</v>
      </c>
      <c r="Q3" s="12" t="s">
        <v>38</v>
      </c>
      <c r="R3" s="12" t="s">
        <v>40</v>
      </c>
      <c r="S3" s="12" t="s">
        <v>44</v>
      </c>
      <c r="T3" s="12" t="s">
        <v>46</v>
      </c>
      <c r="U3" s="13" t="s">
        <v>49</v>
      </c>
      <c r="V3" s="13" t="s">
        <v>52</v>
      </c>
      <c r="W3" s="13" t="s">
        <v>56</v>
      </c>
      <c r="X3" s="13" t="s">
        <v>63</v>
      </c>
      <c r="Y3" s="13" t="s">
        <v>70</v>
      </c>
      <c r="Z3" s="13" t="s">
        <v>73</v>
      </c>
      <c r="AA3" s="13" t="s">
        <v>83</v>
      </c>
      <c r="AB3" s="13" t="s">
        <v>89</v>
      </c>
      <c r="AC3" s="13" t="s">
        <v>10</v>
      </c>
      <c r="AD3" s="13" t="s">
        <v>40</v>
      </c>
      <c r="AE3" s="13" t="s">
        <v>190</v>
      </c>
      <c r="AF3" s="13" t="s">
        <v>194</v>
      </c>
      <c r="AG3" s="13" t="s">
        <v>180</v>
      </c>
      <c r="AH3" s="13" t="s">
        <v>186</v>
      </c>
      <c r="AI3" s="13" t="s">
        <v>112</v>
      </c>
    </row>
    <row r="4" spans="1:35" s="13" customFormat="1" x14ac:dyDescent="0.25">
      <c r="A4" s="9"/>
      <c r="B4" s="9"/>
      <c r="C4" s="9"/>
      <c r="D4" s="10"/>
      <c r="E4" s="11"/>
      <c r="F4" s="11"/>
      <c r="G4" s="12" t="s">
        <v>11</v>
      </c>
      <c r="H4" s="12" t="s">
        <v>15</v>
      </c>
      <c r="I4" s="12" t="s">
        <v>19</v>
      </c>
      <c r="J4" s="12" t="s">
        <v>60</v>
      </c>
      <c r="K4" s="12" t="s">
        <v>19</v>
      </c>
      <c r="L4" s="12" t="s">
        <v>25</v>
      </c>
      <c r="M4" s="12" t="s">
        <v>27</v>
      </c>
      <c r="N4" s="12"/>
      <c r="O4" s="12"/>
      <c r="P4" s="12"/>
      <c r="Q4" s="12"/>
      <c r="R4" s="12">
        <v>104</v>
      </c>
      <c r="S4" s="12" t="s">
        <v>45</v>
      </c>
      <c r="T4" s="12" t="s">
        <v>45</v>
      </c>
      <c r="U4" s="13" t="s">
        <v>19</v>
      </c>
      <c r="V4" s="13" t="s">
        <v>53</v>
      </c>
      <c r="W4" s="13" t="s">
        <v>57</v>
      </c>
      <c r="X4" s="13" t="s">
        <v>64</v>
      </c>
      <c r="Y4" s="13" t="s">
        <v>71</v>
      </c>
      <c r="AA4" s="13" t="s">
        <v>84</v>
      </c>
      <c r="AB4" s="13" t="s">
        <v>57</v>
      </c>
      <c r="AC4" s="13" t="s">
        <v>92</v>
      </c>
      <c r="AD4" s="13">
        <v>137</v>
      </c>
      <c r="AE4" s="13" t="s">
        <v>191</v>
      </c>
      <c r="AF4" s="13" t="s">
        <v>57</v>
      </c>
      <c r="AG4" s="13" t="s">
        <v>53</v>
      </c>
    </row>
    <row r="5" spans="1:35" s="43" customFormat="1" x14ac:dyDescent="0.25">
      <c r="B5" s="43" t="s">
        <v>289</v>
      </c>
      <c r="C5" s="43" t="s">
        <v>290</v>
      </c>
      <c r="D5" s="44" t="s">
        <v>291</v>
      </c>
      <c r="E5" s="45">
        <v>-111.8</v>
      </c>
      <c r="F5" s="42"/>
      <c r="G5" s="42"/>
      <c r="H5" s="42"/>
      <c r="I5" s="42"/>
      <c r="J5" s="42"/>
      <c r="K5" s="42"/>
      <c r="L5" s="45">
        <v>-111.8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5" s="40" customFormat="1" x14ac:dyDescent="0.25">
      <c r="A6" s="46">
        <v>42837</v>
      </c>
      <c r="B6" s="40" t="s">
        <v>8</v>
      </c>
      <c r="C6" s="40" t="s">
        <v>9</v>
      </c>
      <c r="D6" s="40">
        <v>201005</v>
      </c>
      <c r="E6" s="47">
        <v>392.31</v>
      </c>
      <c r="F6" s="47">
        <v>65.38</v>
      </c>
      <c r="G6" s="47">
        <v>326.93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s="40" customFormat="1" x14ac:dyDescent="0.25">
      <c r="A7" s="46">
        <v>42837</v>
      </c>
      <c r="B7" s="40" t="s">
        <v>12</v>
      </c>
      <c r="C7" s="40" t="s">
        <v>13</v>
      </c>
      <c r="D7" s="40">
        <v>201006</v>
      </c>
      <c r="E7" s="47">
        <v>368.64</v>
      </c>
      <c r="F7" s="47">
        <v>61.44</v>
      </c>
      <c r="G7" s="47"/>
      <c r="H7" s="47">
        <v>307.2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s="40" customFormat="1" x14ac:dyDescent="0.25">
      <c r="A8" s="46">
        <v>42837</v>
      </c>
      <c r="B8" s="40" t="s">
        <v>16</v>
      </c>
      <c r="C8" s="40" t="s">
        <v>17</v>
      </c>
      <c r="D8" s="40">
        <v>201007</v>
      </c>
      <c r="E8" s="47">
        <v>159.16999999999999</v>
      </c>
      <c r="F8" s="47">
        <v>0</v>
      </c>
      <c r="G8" s="47"/>
      <c r="H8" s="47"/>
      <c r="I8" s="47">
        <v>159.16999999999999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s="40" customFormat="1" x14ac:dyDescent="0.25">
      <c r="A9" s="46">
        <v>42837</v>
      </c>
      <c r="B9" s="40" t="s">
        <v>20</v>
      </c>
      <c r="C9" s="40" t="s">
        <v>21</v>
      </c>
      <c r="D9" s="40">
        <v>201008</v>
      </c>
      <c r="E9" s="47">
        <v>234</v>
      </c>
      <c r="F9" s="47">
        <v>39</v>
      </c>
      <c r="G9" s="47"/>
      <c r="H9" s="47"/>
      <c r="I9" s="47">
        <v>195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s="40" customFormat="1" x14ac:dyDescent="0.25">
      <c r="A10" s="46">
        <v>42837</v>
      </c>
      <c r="B10" s="40" t="s">
        <v>22</v>
      </c>
      <c r="C10" s="40" t="s">
        <v>23</v>
      </c>
      <c r="D10" s="40">
        <v>201009</v>
      </c>
      <c r="E10" s="47">
        <v>432.17</v>
      </c>
      <c r="F10" s="47">
        <v>0</v>
      </c>
      <c r="G10" s="47"/>
      <c r="H10" s="47"/>
      <c r="I10" s="47"/>
      <c r="J10" s="47"/>
      <c r="K10" s="47"/>
      <c r="L10" s="47">
        <v>414.17</v>
      </c>
      <c r="M10" s="47">
        <v>10</v>
      </c>
      <c r="N10" s="47">
        <v>8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s="40" customFormat="1" x14ac:dyDescent="0.25">
      <c r="A11" s="46">
        <v>42837</v>
      </c>
      <c r="B11" s="40" t="s">
        <v>29</v>
      </c>
      <c r="C11" s="40" t="s">
        <v>30</v>
      </c>
      <c r="D11" s="40">
        <v>201010</v>
      </c>
      <c r="E11" s="47">
        <v>175.2</v>
      </c>
      <c r="F11" s="47">
        <v>0</v>
      </c>
      <c r="G11" s="47"/>
      <c r="H11" s="47"/>
      <c r="I11" s="47"/>
      <c r="J11" s="47"/>
      <c r="K11" s="47"/>
      <c r="L11" s="47">
        <v>175.2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s="40" customFormat="1" x14ac:dyDescent="0.25">
      <c r="A12" s="46">
        <v>42837</v>
      </c>
      <c r="B12" s="40" t="s">
        <v>8</v>
      </c>
      <c r="C12" s="40" t="s">
        <v>33</v>
      </c>
      <c r="D12" s="40">
        <v>201011</v>
      </c>
      <c r="E12" s="47">
        <v>85</v>
      </c>
      <c r="F12" s="47">
        <v>0</v>
      </c>
      <c r="G12" s="47"/>
      <c r="H12" s="47"/>
      <c r="I12" s="47"/>
      <c r="J12" s="47"/>
      <c r="K12" s="47"/>
      <c r="L12" s="47"/>
      <c r="M12" s="47"/>
      <c r="N12" s="47"/>
      <c r="O12" s="47"/>
      <c r="P12" s="47">
        <v>85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s="40" customFormat="1" x14ac:dyDescent="0.25">
      <c r="A13" s="46"/>
      <c r="C13" s="40" t="s">
        <v>37</v>
      </c>
      <c r="D13" s="40">
        <v>201012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35" s="40" customFormat="1" x14ac:dyDescent="0.25">
      <c r="A14" s="46"/>
      <c r="C14" s="40" t="s">
        <v>37</v>
      </c>
      <c r="D14" s="40">
        <v>201013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s="40" customFormat="1" x14ac:dyDescent="0.25">
      <c r="A15" s="46">
        <v>42865</v>
      </c>
      <c r="B15" s="40" t="s">
        <v>29</v>
      </c>
      <c r="C15" s="40" t="s">
        <v>30</v>
      </c>
      <c r="D15" s="40">
        <v>201014</v>
      </c>
      <c r="E15" s="47">
        <v>178.75</v>
      </c>
      <c r="F15" s="47">
        <v>0</v>
      </c>
      <c r="G15" s="47"/>
      <c r="H15" s="47"/>
      <c r="I15" s="47"/>
      <c r="J15" s="47"/>
      <c r="K15" s="47"/>
      <c r="L15" s="47">
        <v>178.75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</row>
    <row r="16" spans="1:35" s="40" customFormat="1" x14ac:dyDescent="0.25">
      <c r="A16" s="46">
        <v>42865</v>
      </c>
      <c r="B16" s="40" t="s">
        <v>22</v>
      </c>
      <c r="C16" s="40" t="s">
        <v>39</v>
      </c>
      <c r="D16" s="40">
        <v>201015</v>
      </c>
      <c r="E16" s="47">
        <f>414.17+10+29.99+6.72</f>
        <v>460.88000000000005</v>
      </c>
      <c r="F16" s="47">
        <v>0</v>
      </c>
      <c r="G16" s="47"/>
      <c r="H16" s="47"/>
      <c r="I16" s="47"/>
      <c r="J16" s="47"/>
      <c r="K16" s="47"/>
      <c r="L16" s="47">
        <v>414.17</v>
      </c>
      <c r="M16" s="47">
        <v>10</v>
      </c>
      <c r="N16" s="47"/>
      <c r="O16" s="47">
        <v>6.72</v>
      </c>
      <c r="P16" s="47"/>
      <c r="Q16" s="47"/>
      <c r="R16" s="47">
        <v>29.99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5" s="40" customFormat="1" x14ac:dyDescent="0.25">
      <c r="A17" s="46">
        <v>42865</v>
      </c>
      <c r="B17" s="40" t="s">
        <v>42</v>
      </c>
      <c r="C17" s="40" t="s">
        <v>43</v>
      </c>
      <c r="D17" s="40">
        <v>201016</v>
      </c>
      <c r="E17" s="47">
        <f>21.56+97.21</f>
        <v>118.77</v>
      </c>
      <c r="F17" s="47">
        <v>0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>
        <v>21.56</v>
      </c>
      <c r="T17" s="47">
        <v>97.21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 s="23" customFormat="1" x14ac:dyDescent="0.25">
      <c r="A18" s="48">
        <v>42865</v>
      </c>
      <c r="B18" s="23" t="s">
        <v>47</v>
      </c>
      <c r="C18" s="23" t="s">
        <v>48</v>
      </c>
      <c r="D18" s="23">
        <v>201017</v>
      </c>
      <c r="E18" s="28">
        <v>52.16</v>
      </c>
      <c r="F18" s="28">
        <v>8.69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>
        <f>52.16-8.69</f>
        <v>43.47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s="23" customFormat="1" x14ac:dyDescent="0.25">
      <c r="A19" s="48">
        <v>42865</v>
      </c>
      <c r="B19" s="23" t="s">
        <v>50</v>
      </c>
      <c r="C19" s="23" t="s">
        <v>51</v>
      </c>
      <c r="D19" s="23">
        <v>201018</v>
      </c>
      <c r="E19" s="28">
        <v>25</v>
      </c>
      <c r="F19" s="28"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v>25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s="23" customFormat="1" x14ac:dyDescent="0.25">
      <c r="A20" s="48">
        <v>42865</v>
      </c>
      <c r="B20" s="23" t="s">
        <v>54</v>
      </c>
      <c r="C20" s="23" t="s">
        <v>55</v>
      </c>
      <c r="D20" s="23">
        <v>201019</v>
      </c>
      <c r="E20" s="28">
        <v>600</v>
      </c>
      <c r="F20" s="28">
        <v>100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>
        <v>500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s="40" customFormat="1" x14ac:dyDescent="0.25">
      <c r="A21" s="46">
        <v>42865</v>
      </c>
      <c r="B21" s="40" t="s">
        <v>8</v>
      </c>
      <c r="C21" s="40" t="s">
        <v>58</v>
      </c>
      <c r="D21" s="40">
        <v>201020</v>
      </c>
      <c r="E21" s="47">
        <v>20</v>
      </c>
      <c r="F21" s="47">
        <v>0</v>
      </c>
      <c r="G21" s="47"/>
      <c r="H21" s="47"/>
      <c r="I21" s="47"/>
      <c r="J21" s="47"/>
      <c r="K21" s="47"/>
      <c r="L21" s="47"/>
      <c r="M21" s="47"/>
      <c r="N21" s="47"/>
      <c r="O21" s="47"/>
      <c r="P21" s="47">
        <v>20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5" s="23" customFormat="1" x14ac:dyDescent="0.25">
      <c r="A22" s="48">
        <v>42865</v>
      </c>
      <c r="B22" s="23" t="s">
        <v>20</v>
      </c>
      <c r="C22" s="23" t="s">
        <v>59</v>
      </c>
      <c r="D22" s="23">
        <v>201021</v>
      </c>
      <c r="E22" s="28">
        <v>674.4</v>
      </c>
      <c r="F22" s="28">
        <v>112.4</v>
      </c>
      <c r="G22" s="28"/>
      <c r="H22" s="28"/>
      <c r="I22" s="28"/>
      <c r="J22" s="28">
        <v>562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s="50" customFormat="1" x14ac:dyDescent="0.25">
      <c r="A23" s="49">
        <v>42865</v>
      </c>
      <c r="B23" s="50" t="s">
        <v>61</v>
      </c>
      <c r="C23" s="50" t="s">
        <v>62</v>
      </c>
      <c r="D23" s="50">
        <v>201022</v>
      </c>
      <c r="E23" s="51">
        <v>400</v>
      </c>
      <c r="F23" s="51">
        <v>0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>
        <v>400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</row>
    <row r="24" spans="1:35" s="40" customFormat="1" x14ac:dyDescent="0.25">
      <c r="A24" s="46">
        <v>42865</v>
      </c>
      <c r="B24" s="40" t="s">
        <v>8</v>
      </c>
      <c r="C24" s="40" t="s">
        <v>65</v>
      </c>
      <c r="D24" s="40">
        <v>201023</v>
      </c>
      <c r="E24" s="47">
        <v>8</v>
      </c>
      <c r="F24" s="47">
        <v>0</v>
      </c>
      <c r="G24" s="47"/>
      <c r="H24" s="47"/>
      <c r="I24" s="47"/>
      <c r="J24" s="47"/>
      <c r="K24" s="47"/>
      <c r="L24" s="47"/>
      <c r="M24" s="47"/>
      <c r="N24" s="47"/>
      <c r="O24" s="47"/>
      <c r="P24" s="47">
        <v>8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35" s="40" customFormat="1" x14ac:dyDescent="0.25">
      <c r="A25" s="46"/>
      <c r="C25" s="40" t="s">
        <v>37</v>
      </c>
      <c r="D25" s="40">
        <v>201024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40" customFormat="1" x14ac:dyDescent="0.25">
      <c r="A26" s="46">
        <v>42885</v>
      </c>
      <c r="B26" s="40" t="s">
        <v>31</v>
      </c>
      <c r="C26" s="40" t="s">
        <v>66</v>
      </c>
      <c r="D26" s="41" t="s">
        <v>67</v>
      </c>
      <c r="E26" s="47">
        <v>5582.5</v>
      </c>
      <c r="F26" s="47">
        <v>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>
        <v>5582.5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s="23" customFormat="1" x14ac:dyDescent="0.25">
      <c r="A27" s="48">
        <v>42900</v>
      </c>
      <c r="B27" s="23" t="s">
        <v>68</v>
      </c>
      <c r="C27" s="23" t="s">
        <v>69</v>
      </c>
      <c r="D27" s="52">
        <v>201025</v>
      </c>
      <c r="E27" s="28">
        <v>462.6</v>
      </c>
      <c r="F27" s="28">
        <v>77.099999999999994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>
        <v>385.5</v>
      </c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s="23" customFormat="1" x14ac:dyDescent="0.25">
      <c r="A28" s="48">
        <v>42900</v>
      </c>
      <c r="B28" s="23" t="s">
        <v>29</v>
      </c>
      <c r="C28" s="23" t="s">
        <v>30</v>
      </c>
      <c r="D28" s="52">
        <v>201026</v>
      </c>
      <c r="E28" s="28">
        <f>178.75+2+6.99</f>
        <v>187.74</v>
      </c>
      <c r="F28" s="28">
        <v>0</v>
      </c>
      <c r="G28" s="28"/>
      <c r="H28" s="28"/>
      <c r="I28" s="28">
        <v>6.99</v>
      </c>
      <c r="J28" s="28"/>
      <c r="K28" s="28"/>
      <c r="L28" s="28">
        <v>178.75</v>
      </c>
      <c r="M28" s="28"/>
      <c r="N28" s="28"/>
      <c r="O28" s="28"/>
      <c r="P28" s="28"/>
      <c r="Q28" s="28"/>
      <c r="R28" s="28"/>
      <c r="S28" s="28"/>
      <c r="T28" s="28"/>
      <c r="U28" s="28">
        <v>2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s="23" customFormat="1" x14ac:dyDescent="0.25">
      <c r="A29" s="48">
        <v>42900</v>
      </c>
      <c r="B29" s="23" t="s">
        <v>22</v>
      </c>
      <c r="C29" s="23" t="s">
        <v>72</v>
      </c>
      <c r="D29" s="52">
        <v>201027</v>
      </c>
      <c r="E29" s="28">
        <v>462.37</v>
      </c>
      <c r="F29" s="28">
        <v>0</v>
      </c>
      <c r="G29" s="28"/>
      <c r="H29" s="28"/>
      <c r="I29" s="28"/>
      <c r="J29" s="28"/>
      <c r="K29" s="28"/>
      <c r="L29" s="28">
        <v>414.17</v>
      </c>
      <c r="M29" s="28">
        <v>10</v>
      </c>
      <c r="N29" s="28">
        <v>38.200000000000003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>
        <v>16.2</v>
      </c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s="23" customFormat="1" x14ac:dyDescent="0.25">
      <c r="A30" s="48">
        <v>42900</v>
      </c>
      <c r="B30" s="23" t="s">
        <v>20</v>
      </c>
      <c r="C30" s="23" t="s">
        <v>74</v>
      </c>
      <c r="D30" s="52">
        <v>201028</v>
      </c>
      <c r="E30" s="28">
        <f>337.2+67.2</f>
        <v>404.4</v>
      </c>
      <c r="F30" s="28">
        <f>56.2+11.2</f>
        <v>67.400000000000006</v>
      </c>
      <c r="G30" s="28"/>
      <c r="H30" s="28"/>
      <c r="I30" s="28">
        <v>56</v>
      </c>
      <c r="J30" s="28">
        <v>281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s="23" customFormat="1" x14ac:dyDescent="0.25">
      <c r="A31" s="48">
        <v>42900</v>
      </c>
      <c r="B31" s="23" t="s">
        <v>16</v>
      </c>
      <c r="C31" s="23" t="s">
        <v>17</v>
      </c>
      <c r="D31" s="52">
        <v>201029</v>
      </c>
      <c r="E31" s="28">
        <v>331.43</v>
      </c>
      <c r="F31" s="28">
        <v>0</v>
      </c>
      <c r="G31" s="28"/>
      <c r="H31" s="28"/>
      <c r="I31" s="28">
        <f>230+21.43</f>
        <v>251.43</v>
      </c>
      <c r="J31" s="28"/>
      <c r="K31" s="28">
        <v>80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s="23" customFormat="1" x14ac:dyDescent="0.25">
      <c r="A32" s="48">
        <v>42900</v>
      </c>
      <c r="B32" s="23" t="s">
        <v>8</v>
      </c>
      <c r="C32" s="23" t="s">
        <v>65</v>
      </c>
      <c r="D32" s="52">
        <v>201030</v>
      </c>
      <c r="E32" s="28">
        <v>8</v>
      </c>
      <c r="F32" s="28">
        <v>0</v>
      </c>
      <c r="G32" s="28"/>
      <c r="H32" s="28"/>
      <c r="I32" s="28"/>
      <c r="J32" s="28"/>
      <c r="K32" s="28"/>
      <c r="L32" s="28"/>
      <c r="M32" s="28"/>
      <c r="N32" s="28"/>
      <c r="O32" s="28"/>
      <c r="P32" s="28">
        <v>8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s="23" customFormat="1" x14ac:dyDescent="0.25">
      <c r="A33" s="48">
        <v>42900</v>
      </c>
      <c r="B33" s="23" t="s">
        <v>76</v>
      </c>
      <c r="C33" s="23" t="s">
        <v>77</v>
      </c>
      <c r="D33" s="52">
        <v>201031</v>
      </c>
      <c r="E33" s="28">
        <v>72</v>
      </c>
      <c r="F33" s="28">
        <v>12</v>
      </c>
      <c r="G33" s="28"/>
      <c r="H33" s="28"/>
      <c r="I33" s="28"/>
      <c r="J33" s="28"/>
      <c r="K33" s="28">
        <v>60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s="23" customFormat="1" x14ac:dyDescent="0.25">
      <c r="A34" s="48">
        <v>42900</v>
      </c>
      <c r="B34" s="23" t="s">
        <v>78</v>
      </c>
      <c r="C34" s="23" t="s">
        <v>79</v>
      </c>
      <c r="D34" s="52" t="s">
        <v>80</v>
      </c>
      <c r="E34" s="28">
        <v>35</v>
      </c>
      <c r="F34" s="28"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>
        <v>35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s="23" customFormat="1" x14ac:dyDescent="0.25">
      <c r="A35" s="48">
        <v>42900</v>
      </c>
      <c r="B35" s="23" t="s">
        <v>81</v>
      </c>
      <c r="C35" s="23" t="s">
        <v>82</v>
      </c>
      <c r="D35" s="52">
        <v>201032</v>
      </c>
      <c r="E35" s="28">
        <v>500</v>
      </c>
      <c r="F35" s="28"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>
        <v>500</v>
      </c>
      <c r="AB35" s="28"/>
      <c r="AC35" s="28"/>
      <c r="AD35" s="28"/>
      <c r="AE35" s="28"/>
      <c r="AF35" s="28"/>
      <c r="AG35" s="28"/>
      <c r="AH35" s="28"/>
      <c r="AI35" s="28"/>
    </row>
    <row r="36" spans="1:35" s="23" customFormat="1" x14ac:dyDescent="0.25">
      <c r="A36" s="48">
        <v>42900</v>
      </c>
      <c r="B36" s="23" t="s">
        <v>85</v>
      </c>
      <c r="C36" s="23" t="s">
        <v>86</v>
      </c>
      <c r="D36" s="52">
        <v>201033</v>
      </c>
      <c r="E36" s="28">
        <v>600</v>
      </c>
      <c r="F36" s="28">
        <v>0</v>
      </c>
      <c r="G36" s="28"/>
      <c r="H36" s="28"/>
      <c r="I36" s="28">
        <v>600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s="23" customFormat="1" x14ac:dyDescent="0.25">
      <c r="A37" s="48">
        <v>42900</v>
      </c>
      <c r="B37" s="23" t="s">
        <v>87</v>
      </c>
      <c r="C37" s="23" t="s">
        <v>88</v>
      </c>
      <c r="D37" s="52">
        <v>201034</v>
      </c>
      <c r="E37" s="28">
        <v>70</v>
      </c>
      <c r="F37" s="28"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>
        <v>70</v>
      </c>
      <c r="AC37" s="28"/>
      <c r="AD37" s="28"/>
      <c r="AE37" s="28"/>
      <c r="AF37" s="28"/>
      <c r="AG37" s="28"/>
      <c r="AH37" s="28"/>
      <c r="AI37" s="28"/>
    </row>
    <row r="38" spans="1:35" s="23" customFormat="1" x14ac:dyDescent="0.25">
      <c r="A38" s="48">
        <v>42900</v>
      </c>
      <c r="B38" s="23" t="s">
        <v>90</v>
      </c>
      <c r="C38" s="23" t="s">
        <v>91</v>
      </c>
      <c r="D38" s="52">
        <v>201035</v>
      </c>
      <c r="E38" s="28">
        <v>2889.16</v>
      </c>
      <c r="F38" s="28"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>
        <v>2889.16</v>
      </c>
      <c r="AD38" s="28"/>
      <c r="AE38" s="28"/>
      <c r="AF38" s="28"/>
      <c r="AG38" s="28"/>
      <c r="AH38" s="28"/>
      <c r="AI38" s="28"/>
    </row>
    <row r="39" spans="1:35" s="23" customFormat="1" x14ac:dyDescent="0.25">
      <c r="A39" s="48">
        <v>42900</v>
      </c>
      <c r="B39" s="23" t="s">
        <v>93</v>
      </c>
      <c r="C39" s="23" t="s">
        <v>94</v>
      </c>
      <c r="D39" s="52">
        <v>201036</v>
      </c>
      <c r="E39" s="28">
        <v>24.75</v>
      </c>
      <c r="F39" s="28">
        <v>0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>
        <v>24.75</v>
      </c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s="23" customFormat="1" x14ac:dyDescent="0.25">
      <c r="A40" s="48">
        <v>42900</v>
      </c>
      <c r="B40" s="23" t="s">
        <v>95</v>
      </c>
      <c r="C40" s="23" t="s">
        <v>82</v>
      </c>
      <c r="D40" s="52">
        <v>201037</v>
      </c>
      <c r="E40" s="28">
        <v>600</v>
      </c>
      <c r="F40" s="28">
        <v>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>
        <v>600</v>
      </c>
      <c r="AB40" s="28"/>
      <c r="AC40" s="28"/>
      <c r="AD40" s="28"/>
      <c r="AE40" s="28"/>
      <c r="AF40" s="28"/>
      <c r="AG40" s="28"/>
      <c r="AH40" s="28"/>
      <c r="AI40" s="28"/>
    </row>
    <row r="41" spans="1:35" s="23" customFormat="1" x14ac:dyDescent="0.25">
      <c r="A41" s="48">
        <v>42928</v>
      </c>
      <c r="B41" s="23" t="s">
        <v>22</v>
      </c>
      <c r="C41" s="23" t="s">
        <v>72</v>
      </c>
      <c r="D41" s="52">
        <v>201038</v>
      </c>
      <c r="E41" s="28">
        <f>I41+L41+M41+O41</f>
        <v>450.3</v>
      </c>
      <c r="F41" s="28">
        <v>0</v>
      </c>
      <c r="G41" s="28"/>
      <c r="H41" s="28"/>
      <c r="I41" s="28">
        <v>12.69</v>
      </c>
      <c r="J41" s="28"/>
      <c r="K41" s="28"/>
      <c r="L41" s="28">
        <v>414.17</v>
      </c>
      <c r="M41" s="28">
        <v>10</v>
      </c>
      <c r="N41" s="28"/>
      <c r="O41" s="28">
        <v>13.44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s="23" customFormat="1" x14ac:dyDescent="0.25">
      <c r="A42" s="48">
        <v>42928</v>
      </c>
      <c r="B42" s="23" t="s">
        <v>29</v>
      </c>
      <c r="C42" s="23" t="s">
        <v>96</v>
      </c>
      <c r="D42" s="52">
        <v>201039</v>
      </c>
      <c r="E42" s="28">
        <v>178.75</v>
      </c>
      <c r="F42" s="28">
        <v>0</v>
      </c>
      <c r="G42" s="28"/>
      <c r="H42" s="28"/>
      <c r="I42" s="28"/>
      <c r="J42" s="28"/>
      <c r="K42" s="28"/>
      <c r="L42" s="28">
        <v>178.75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s="23" customFormat="1" x14ac:dyDescent="0.25">
      <c r="A43" s="48">
        <v>42928</v>
      </c>
      <c r="B43" s="23" t="s">
        <v>97</v>
      </c>
      <c r="C43" s="23" t="s">
        <v>17</v>
      </c>
      <c r="D43" s="52">
        <v>201040</v>
      </c>
      <c r="E43" s="28">
        <v>80</v>
      </c>
      <c r="F43" s="28">
        <v>0</v>
      </c>
      <c r="G43" s="28"/>
      <c r="H43" s="28"/>
      <c r="I43" s="28">
        <v>20</v>
      </c>
      <c r="J43" s="28"/>
      <c r="K43" s="28">
        <v>60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s="23" customFormat="1" x14ac:dyDescent="0.25">
      <c r="A44" s="48">
        <v>42928</v>
      </c>
      <c r="B44" s="23" t="s">
        <v>20</v>
      </c>
      <c r="C44" s="23" t="s">
        <v>98</v>
      </c>
      <c r="D44" s="52">
        <v>201041</v>
      </c>
      <c r="E44" s="28">
        <v>1447.2</v>
      </c>
      <c r="F44" s="28">
        <v>241.2</v>
      </c>
      <c r="G44" s="28"/>
      <c r="H44" s="28"/>
      <c r="I44" s="28"/>
      <c r="J44" s="28">
        <v>1206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s="23" customFormat="1" x14ac:dyDescent="0.25">
      <c r="A45" s="48">
        <v>42928</v>
      </c>
      <c r="B45" s="23" t="s">
        <v>42</v>
      </c>
      <c r="C45" s="23" t="s">
        <v>99</v>
      </c>
      <c r="D45" s="52">
        <v>201042</v>
      </c>
      <c r="E45" s="28">
        <v>63.52</v>
      </c>
      <c r="F45" s="28">
        <v>0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63.52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s="23" customFormat="1" x14ac:dyDescent="0.25">
      <c r="A46" s="48">
        <v>42928</v>
      </c>
      <c r="B46" s="23" t="s">
        <v>85</v>
      </c>
      <c r="C46" s="23" t="s">
        <v>100</v>
      </c>
      <c r="D46" s="52">
        <v>201043</v>
      </c>
      <c r="E46" s="28">
        <v>580</v>
      </c>
      <c r="F46" s="28">
        <v>0</v>
      </c>
      <c r="G46" s="28"/>
      <c r="H46" s="28"/>
      <c r="I46" s="28">
        <v>580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s="23" customFormat="1" x14ac:dyDescent="0.25">
      <c r="A47" s="48">
        <v>42963</v>
      </c>
      <c r="B47" s="23" t="s">
        <v>151</v>
      </c>
      <c r="C47" s="23" t="s">
        <v>152</v>
      </c>
      <c r="D47" s="52">
        <v>201044</v>
      </c>
      <c r="E47" s="28">
        <v>132</v>
      </c>
      <c r="F47" s="28">
        <v>22</v>
      </c>
      <c r="G47" s="28"/>
      <c r="H47" s="28"/>
      <c r="I47" s="28">
        <v>110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s="23" customFormat="1" x14ac:dyDescent="0.25">
      <c r="A48" s="48">
        <v>42963</v>
      </c>
      <c r="B48" s="23" t="s">
        <v>153</v>
      </c>
      <c r="C48" s="23" t="s">
        <v>154</v>
      </c>
      <c r="D48" s="52">
        <v>201045</v>
      </c>
      <c r="E48" s="28">
        <v>260</v>
      </c>
      <c r="F48" s="28">
        <v>0</v>
      </c>
      <c r="G48" s="28"/>
      <c r="H48" s="28"/>
      <c r="I48" s="28">
        <v>260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s="23" customFormat="1" x14ac:dyDescent="0.25">
      <c r="A49" s="48">
        <v>42963</v>
      </c>
      <c r="B49" s="23" t="s">
        <v>42</v>
      </c>
      <c r="C49" s="23" t="s">
        <v>155</v>
      </c>
      <c r="D49" s="52">
        <v>201046</v>
      </c>
      <c r="E49" s="28">
        <v>103.03</v>
      </c>
      <c r="F49" s="28">
        <v>0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>
        <v>103.03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s="23" customFormat="1" x14ac:dyDescent="0.25">
      <c r="A50" s="48">
        <v>42963</v>
      </c>
      <c r="B50" s="23" t="s">
        <v>22</v>
      </c>
      <c r="C50" s="23" t="s">
        <v>72</v>
      </c>
      <c r="D50" s="52">
        <v>201047</v>
      </c>
      <c r="E50" s="28">
        <v>424.17</v>
      </c>
      <c r="F50" s="28">
        <v>0</v>
      </c>
      <c r="G50" s="28"/>
      <c r="H50" s="28"/>
      <c r="I50" s="28"/>
      <c r="J50" s="28"/>
      <c r="K50" s="28"/>
      <c r="L50" s="28">
        <v>414.17</v>
      </c>
      <c r="M50" s="28">
        <v>10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s="23" customFormat="1" x14ac:dyDescent="0.25">
      <c r="A51" s="48">
        <v>42963</v>
      </c>
      <c r="B51" s="23" t="s">
        <v>29</v>
      </c>
      <c r="C51" s="23" t="s">
        <v>30</v>
      </c>
      <c r="D51" s="52">
        <v>201048</v>
      </c>
      <c r="E51" s="28">
        <v>196</v>
      </c>
      <c r="F51" s="28">
        <v>0</v>
      </c>
      <c r="G51" s="28"/>
      <c r="H51" s="28"/>
      <c r="I51" s="28"/>
      <c r="J51" s="28"/>
      <c r="K51" s="28"/>
      <c r="L51" s="28">
        <v>196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s="23" customFormat="1" x14ac:dyDescent="0.25">
      <c r="A52" s="48">
        <v>42963</v>
      </c>
      <c r="B52" s="23" t="s">
        <v>20</v>
      </c>
      <c r="C52" s="23" t="s">
        <v>156</v>
      </c>
      <c r="D52" s="52">
        <v>201049</v>
      </c>
      <c r="E52" s="28">
        <v>337.2</v>
      </c>
      <c r="F52" s="28">
        <v>56.2</v>
      </c>
      <c r="G52" s="28"/>
      <c r="H52" s="28"/>
      <c r="I52" s="28"/>
      <c r="J52" s="28">
        <v>281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s="23" customFormat="1" x14ac:dyDescent="0.25">
      <c r="A53" s="48">
        <v>42991</v>
      </c>
      <c r="B53" s="23" t="s">
        <v>157</v>
      </c>
      <c r="C53" s="23" t="s">
        <v>158</v>
      </c>
      <c r="D53" s="52">
        <v>201050</v>
      </c>
      <c r="E53" s="28">
        <v>117.6</v>
      </c>
      <c r="F53" s="28">
        <v>19.600000000000001</v>
      </c>
      <c r="G53" s="28"/>
      <c r="H53" s="28"/>
      <c r="I53" s="28">
        <v>98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s="23" customFormat="1" x14ac:dyDescent="0.25">
      <c r="A54" s="48">
        <v>42991</v>
      </c>
      <c r="B54" s="23" t="s">
        <v>159</v>
      </c>
      <c r="C54" s="23" t="s">
        <v>160</v>
      </c>
      <c r="D54" s="52">
        <v>201051</v>
      </c>
      <c r="E54" s="28">
        <v>15</v>
      </c>
      <c r="F54" s="28">
        <v>0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>
        <v>15</v>
      </c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s="23" customFormat="1" x14ac:dyDescent="0.25">
      <c r="A55" s="48">
        <v>42991</v>
      </c>
      <c r="B55" s="23" t="s">
        <v>161</v>
      </c>
      <c r="C55" s="23" t="s">
        <v>162</v>
      </c>
      <c r="D55" s="52">
        <v>201052</v>
      </c>
      <c r="E55" s="28">
        <v>149.4</v>
      </c>
      <c r="F55" s="28">
        <v>24.9</v>
      </c>
      <c r="G55" s="28"/>
      <c r="H55" s="28"/>
      <c r="I55" s="28"/>
      <c r="J55" s="28"/>
      <c r="K55" s="28">
        <v>124.5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s="23" customFormat="1" x14ac:dyDescent="0.25">
      <c r="A56" s="48">
        <v>42991</v>
      </c>
      <c r="B56" s="23" t="s">
        <v>20</v>
      </c>
      <c r="C56" s="23" t="s">
        <v>156</v>
      </c>
      <c r="D56" s="52">
        <v>201053</v>
      </c>
      <c r="E56" s="28">
        <f>337.2*2</f>
        <v>674.4</v>
      </c>
      <c r="F56" s="28">
        <f>56.2*2</f>
        <v>112.4</v>
      </c>
      <c r="G56" s="28"/>
      <c r="H56" s="28"/>
      <c r="I56" s="28"/>
      <c r="J56" s="28">
        <f>281*2</f>
        <v>562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s="23" customFormat="1" x14ac:dyDescent="0.25">
      <c r="A57" s="48">
        <v>42991</v>
      </c>
      <c r="B57" s="23" t="s">
        <v>22</v>
      </c>
      <c r="C57" s="23" t="s">
        <v>72</v>
      </c>
      <c r="D57" s="52">
        <v>201054</v>
      </c>
      <c r="E57" s="28">
        <f>414.17+10+13.44</f>
        <v>437.61</v>
      </c>
      <c r="F57" s="28">
        <v>0</v>
      </c>
      <c r="G57" s="28"/>
      <c r="H57" s="28"/>
      <c r="I57" s="28"/>
      <c r="J57" s="28"/>
      <c r="K57" s="28"/>
      <c r="L57" s="28">
        <v>414.17</v>
      </c>
      <c r="M57" s="28">
        <v>10</v>
      </c>
      <c r="N57" s="28"/>
      <c r="O57" s="28">
        <v>13.44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s="23" customFormat="1" x14ac:dyDescent="0.25">
      <c r="A58" s="48">
        <v>42991</v>
      </c>
      <c r="B58" s="23" t="s">
        <v>29</v>
      </c>
      <c r="C58" s="23" t="s">
        <v>96</v>
      </c>
      <c r="D58" s="52">
        <v>201054</v>
      </c>
      <c r="E58" s="28">
        <v>204.13</v>
      </c>
      <c r="F58" s="28">
        <v>0</v>
      </c>
      <c r="G58" s="28"/>
      <c r="H58" s="28"/>
      <c r="I58" s="28">
        <v>1</v>
      </c>
      <c r="J58" s="28"/>
      <c r="K58" s="28"/>
      <c r="L58" s="28">
        <v>203.13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s="23" customFormat="1" x14ac:dyDescent="0.25">
      <c r="A59" s="48">
        <v>43019</v>
      </c>
      <c r="B59" s="23" t="s">
        <v>164</v>
      </c>
      <c r="C59" s="23" t="s">
        <v>165</v>
      </c>
      <c r="D59" s="52">
        <v>201056</v>
      </c>
      <c r="E59" s="28">
        <v>3597.37</v>
      </c>
      <c r="F59" s="28">
        <f>3597.37/6</f>
        <v>599.56166666666661</v>
      </c>
      <c r="G59" s="28"/>
      <c r="H59" s="28"/>
      <c r="I59" s="28"/>
      <c r="J59" s="28"/>
      <c r="K59" s="28">
        <f>3597.37-599.56</f>
        <v>2997.81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s="23" customFormat="1" x14ac:dyDescent="0.25">
      <c r="A60" s="48">
        <v>43019</v>
      </c>
      <c r="B60" s="23" t="s">
        <v>166</v>
      </c>
      <c r="C60" s="23" t="s">
        <v>167</v>
      </c>
      <c r="D60" s="52">
        <v>201057</v>
      </c>
      <c r="E60" s="28">
        <v>390</v>
      </c>
      <c r="F60" s="28">
        <v>65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>
        <v>325</v>
      </c>
      <c r="AC60" s="28"/>
      <c r="AD60" s="28"/>
      <c r="AE60" s="28"/>
      <c r="AF60" s="28"/>
      <c r="AG60" s="28"/>
      <c r="AH60" s="28"/>
      <c r="AI60" s="28"/>
    </row>
    <row r="61" spans="1:35" s="23" customFormat="1" x14ac:dyDescent="0.25">
      <c r="A61" s="48">
        <v>43019</v>
      </c>
      <c r="B61" s="23" t="s">
        <v>20</v>
      </c>
      <c r="C61" s="23" t="s">
        <v>156</v>
      </c>
      <c r="D61" s="52">
        <v>201058</v>
      </c>
      <c r="E61" s="28">
        <v>943.2</v>
      </c>
      <c r="F61" s="28">
        <f>101+56.2</f>
        <v>157.19999999999999</v>
      </c>
      <c r="G61" s="28"/>
      <c r="H61" s="28"/>
      <c r="I61" s="28"/>
      <c r="J61" s="28">
        <f>E61-F61</f>
        <v>786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s="23" customFormat="1" x14ac:dyDescent="0.25">
      <c r="A62" s="48">
        <v>43019</v>
      </c>
      <c r="B62" s="23" t="s">
        <v>8</v>
      </c>
      <c r="C62" s="23" t="s">
        <v>169</v>
      </c>
      <c r="D62" s="52">
        <v>201059</v>
      </c>
      <c r="E62" s="28">
        <v>16</v>
      </c>
      <c r="F62" s="28">
        <v>0</v>
      </c>
      <c r="G62" s="28"/>
      <c r="H62" s="28"/>
      <c r="I62" s="28"/>
      <c r="J62" s="28"/>
      <c r="K62" s="28"/>
      <c r="L62" s="28"/>
      <c r="M62" s="28"/>
      <c r="N62" s="28"/>
      <c r="O62" s="28"/>
      <c r="P62" s="28">
        <v>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s="23" customFormat="1" x14ac:dyDescent="0.25">
      <c r="A63" s="48">
        <v>43019</v>
      </c>
      <c r="B63" s="23" t="s">
        <v>54</v>
      </c>
      <c r="C63" s="23" t="s">
        <v>170</v>
      </c>
      <c r="D63" s="52">
        <v>201060</v>
      </c>
      <c r="E63" s="28">
        <v>269.44</v>
      </c>
      <c r="F63" s="28">
        <v>0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>
        <v>269.44</v>
      </c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s="23" customFormat="1" x14ac:dyDescent="0.25">
      <c r="A64" s="48">
        <v>43019</v>
      </c>
      <c r="B64" s="23" t="s">
        <v>16</v>
      </c>
      <c r="C64" s="23" t="s">
        <v>171</v>
      </c>
      <c r="D64" s="52">
        <v>201061</v>
      </c>
      <c r="E64" s="28">
        <v>189.39</v>
      </c>
      <c r="F64" s="28">
        <v>0</v>
      </c>
      <c r="G64" s="28"/>
      <c r="H64" s="28"/>
      <c r="I64" s="28">
        <v>69.39</v>
      </c>
      <c r="J64" s="28"/>
      <c r="K64" s="28">
        <v>120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s="23" customFormat="1" x14ac:dyDescent="0.25">
      <c r="A65" s="48">
        <v>43019</v>
      </c>
      <c r="B65" s="23" t="s">
        <v>29</v>
      </c>
      <c r="C65" s="23" t="s">
        <v>96</v>
      </c>
      <c r="D65" s="52">
        <v>201062</v>
      </c>
      <c r="E65" s="28">
        <v>197.5</v>
      </c>
      <c r="F65" s="28">
        <v>0</v>
      </c>
      <c r="G65" s="28"/>
      <c r="H65" s="28"/>
      <c r="I65" s="28"/>
      <c r="J65" s="28"/>
      <c r="K65" s="28"/>
      <c r="L65" s="28">
        <v>197.5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s="23" customFormat="1" x14ac:dyDescent="0.25">
      <c r="A66" s="48">
        <v>43019</v>
      </c>
      <c r="B66" s="23" t="s">
        <v>22</v>
      </c>
      <c r="C66" s="23" t="s">
        <v>72</v>
      </c>
      <c r="D66" s="52">
        <v>201063</v>
      </c>
      <c r="E66" s="28">
        <f>414.17+10</f>
        <v>424.17</v>
      </c>
      <c r="F66" s="28">
        <v>0</v>
      </c>
      <c r="G66" s="28"/>
      <c r="H66" s="28"/>
      <c r="I66" s="28"/>
      <c r="J66" s="28"/>
      <c r="K66" s="28"/>
      <c r="L66" s="28">
        <v>414.17</v>
      </c>
      <c r="M66" s="28">
        <v>10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s="23" customFormat="1" x14ac:dyDescent="0.25">
      <c r="A67" s="48">
        <v>43019</v>
      </c>
      <c r="B67" s="23" t="s">
        <v>172</v>
      </c>
      <c r="C67" s="23" t="s">
        <v>173</v>
      </c>
      <c r="D67" s="52">
        <v>201064</v>
      </c>
      <c r="E67" s="28">
        <v>30</v>
      </c>
      <c r="F67" s="28">
        <v>0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>
        <v>30</v>
      </c>
      <c r="AE67" s="28"/>
      <c r="AF67" s="28"/>
      <c r="AG67" s="28"/>
      <c r="AH67" s="28"/>
      <c r="AI67" s="28"/>
    </row>
    <row r="68" spans="1:35" s="23" customFormat="1" x14ac:dyDescent="0.25">
      <c r="A68" s="48">
        <v>43047</v>
      </c>
      <c r="B68" s="23" t="s">
        <v>85</v>
      </c>
      <c r="C68" s="23" t="s">
        <v>100</v>
      </c>
      <c r="D68" s="52">
        <v>201065</v>
      </c>
      <c r="E68" s="28">
        <v>180</v>
      </c>
      <c r="F68" s="28">
        <v>0</v>
      </c>
      <c r="G68" s="28"/>
      <c r="H68" s="28"/>
      <c r="I68" s="28">
        <v>180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s="23" customFormat="1" x14ac:dyDescent="0.25">
      <c r="A69" s="48">
        <v>43047</v>
      </c>
      <c r="B69" s="23" t="s">
        <v>20</v>
      </c>
      <c r="C69" s="23" t="s">
        <v>156</v>
      </c>
      <c r="D69" s="52">
        <v>201066</v>
      </c>
      <c r="E69" s="28">
        <v>337.2</v>
      </c>
      <c r="F69" s="28">
        <v>56.2</v>
      </c>
      <c r="G69" s="28"/>
      <c r="H69" s="28"/>
      <c r="I69" s="28"/>
      <c r="J69" s="28">
        <v>281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s="23" customFormat="1" x14ac:dyDescent="0.25">
      <c r="A70" s="48">
        <v>43047</v>
      </c>
      <c r="B70" s="23" t="s">
        <v>8</v>
      </c>
      <c r="C70" s="23" t="s">
        <v>175</v>
      </c>
      <c r="D70" s="52">
        <v>201067</v>
      </c>
      <c r="E70" s="28">
        <v>8</v>
      </c>
      <c r="F70" s="28">
        <v>0</v>
      </c>
      <c r="G70" s="28"/>
      <c r="H70" s="28"/>
      <c r="I70" s="28"/>
      <c r="J70" s="28"/>
      <c r="K70" s="28"/>
      <c r="L70" s="28"/>
      <c r="M70" s="28"/>
      <c r="N70" s="28"/>
      <c r="O70" s="28"/>
      <c r="P70" s="28">
        <v>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s="23" customFormat="1" x14ac:dyDescent="0.25">
      <c r="A71" s="48">
        <v>43047</v>
      </c>
      <c r="B71" s="23" t="s">
        <v>176</v>
      </c>
      <c r="C71" s="23" t="s">
        <v>177</v>
      </c>
      <c r="D71" s="52">
        <v>201068</v>
      </c>
      <c r="E71" s="28">
        <v>50</v>
      </c>
      <c r="F71" s="28">
        <v>0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>
        <v>50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s="23" customFormat="1" x14ac:dyDescent="0.25">
      <c r="A72" s="48">
        <v>43047</v>
      </c>
      <c r="B72" s="23" t="s">
        <v>47</v>
      </c>
      <c r="C72" s="23" t="s">
        <v>28</v>
      </c>
      <c r="D72" s="52">
        <v>201069</v>
      </c>
      <c r="E72" s="28">
        <v>80.47</v>
      </c>
      <c r="F72" s="28">
        <v>11.17</v>
      </c>
      <c r="G72" s="28"/>
      <c r="H72" s="28"/>
      <c r="I72" s="28"/>
      <c r="J72" s="28"/>
      <c r="K72" s="28"/>
      <c r="L72" s="28"/>
      <c r="M72" s="28"/>
      <c r="N72" s="28">
        <f>69.3-13.44</f>
        <v>55.86</v>
      </c>
      <c r="O72" s="28">
        <v>13.44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s="23" customFormat="1" x14ac:dyDescent="0.25">
      <c r="A73" s="48">
        <v>43047</v>
      </c>
      <c r="B73" s="23" t="s">
        <v>22</v>
      </c>
      <c r="C73" s="23" t="s">
        <v>72</v>
      </c>
      <c r="D73" s="52">
        <v>201070</v>
      </c>
      <c r="E73" s="28">
        <f>414.17+10+4.05</f>
        <v>428.22</v>
      </c>
      <c r="F73" s="28">
        <v>0</v>
      </c>
      <c r="G73" s="28"/>
      <c r="H73" s="28"/>
      <c r="I73" s="28"/>
      <c r="J73" s="28"/>
      <c r="K73" s="28"/>
      <c r="L73" s="28">
        <v>414.17</v>
      </c>
      <c r="M73" s="28">
        <v>10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>
        <v>4.05</v>
      </c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s="23" customFormat="1" x14ac:dyDescent="0.25">
      <c r="A74" s="48">
        <v>43047</v>
      </c>
      <c r="B74" s="23" t="s">
        <v>29</v>
      </c>
      <c r="C74" s="23" t="s">
        <v>96</v>
      </c>
      <c r="D74" s="52">
        <v>201071</v>
      </c>
      <c r="E74" s="28">
        <v>208</v>
      </c>
      <c r="F74" s="28">
        <v>0</v>
      </c>
      <c r="G74" s="28"/>
      <c r="H74" s="28"/>
      <c r="I74" s="28"/>
      <c r="J74" s="28"/>
      <c r="K74" s="28"/>
      <c r="L74" s="28">
        <v>208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s="23" customFormat="1" x14ac:dyDescent="0.25">
      <c r="A75" s="48">
        <v>43047</v>
      </c>
      <c r="B75" s="23" t="s">
        <v>188</v>
      </c>
      <c r="C75" s="23" t="s">
        <v>189</v>
      </c>
      <c r="D75" s="52">
        <v>201072</v>
      </c>
      <c r="E75" s="28">
        <v>400</v>
      </c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>
        <v>400</v>
      </c>
      <c r="AF75" s="28"/>
      <c r="AG75" s="28"/>
      <c r="AH75" s="28"/>
      <c r="AI75" s="28"/>
    </row>
    <row r="76" spans="1:35" s="23" customFormat="1" x14ac:dyDescent="0.25">
      <c r="A76" s="48">
        <v>43047</v>
      </c>
      <c r="B76" s="23" t="s">
        <v>192</v>
      </c>
      <c r="C76" s="23" t="s">
        <v>193</v>
      </c>
      <c r="D76" s="52">
        <v>201073</v>
      </c>
      <c r="E76" s="28">
        <v>124.3</v>
      </c>
      <c r="F76" s="28">
        <v>0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>
        <v>124.3</v>
      </c>
      <c r="AG76" s="28"/>
      <c r="AH76" s="28"/>
      <c r="AI76" s="28"/>
    </row>
    <row r="77" spans="1:35" s="23" customFormat="1" x14ac:dyDescent="0.25">
      <c r="A77" s="48">
        <v>43047</v>
      </c>
      <c r="B77" s="23" t="s">
        <v>42</v>
      </c>
      <c r="C77" s="23" t="s">
        <v>195</v>
      </c>
      <c r="D77" s="52">
        <v>201074</v>
      </c>
      <c r="E77" s="28">
        <v>110.11</v>
      </c>
      <c r="F77" s="28">
        <v>0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>
        <v>28.73</v>
      </c>
      <c r="T77" s="28">
        <v>81.38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s="23" customFormat="1" x14ac:dyDescent="0.25">
      <c r="A78" s="48">
        <v>43047</v>
      </c>
      <c r="B78" s="23" t="s">
        <v>182</v>
      </c>
      <c r="C78" s="23" t="s">
        <v>196</v>
      </c>
      <c r="D78" s="52">
        <v>201075</v>
      </c>
      <c r="E78" s="28">
        <v>144</v>
      </c>
      <c r="F78" s="28">
        <v>44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>
        <v>120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s="23" customFormat="1" x14ac:dyDescent="0.25">
      <c r="A79" s="48">
        <v>43047</v>
      </c>
      <c r="B79" s="23" t="s">
        <v>198</v>
      </c>
      <c r="C79" s="23" t="s">
        <v>197</v>
      </c>
      <c r="D79" s="52">
        <v>201076</v>
      </c>
      <c r="E79" s="28">
        <v>1564.9</v>
      </c>
      <c r="F79" s="28">
        <f>1564.9/6</f>
        <v>260.81666666666666</v>
      </c>
      <c r="G79" s="28"/>
      <c r="H79" s="28"/>
      <c r="I79" s="28"/>
      <c r="J79" s="28"/>
      <c r="K79" s="28">
        <f>1564.9-260.82</f>
        <v>1304.0800000000002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s="23" customFormat="1" x14ac:dyDescent="0.25">
      <c r="A80" s="48">
        <v>43082</v>
      </c>
      <c r="B80" s="23" t="s">
        <v>97</v>
      </c>
      <c r="C80" s="23" t="s">
        <v>178</v>
      </c>
      <c r="D80" s="52">
        <v>201077</v>
      </c>
      <c r="E80" s="28">
        <v>200</v>
      </c>
      <c r="F80" s="28">
        <v>0</v>
      </c>
      <c r="G80" s="28"/>
      <c r="H80" s="28"/>
      <c r="I80" s="28">
        <v>100</v>
      </c>
      <c r="J80" s="28"/>
      <c r="K80" s="28">
        <v>100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s="23" customFormat="1" x14ac:dyDescent="0.25">
      <c r="A81" s="48">
        <v>43082</v>
      </c>
      <c r="B81" s="23" t="s">
        <v>181</v>
      </c>
      <c r="C81" s="23" t="s">
        <v>179</v>
      </c>
      <c r="D81" s="52">
        <v>201078</v>
      </c>
      <c r="E81" s="28">
        <v>612</v>
      </c>
      <c r="F81" s="28">
        <v>102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>
        <v>510</v>
      </c>
      <c r="AH81" s="28"/>
      <c r="AI81" s="28"/>
    </row>
    <row r="82" spans="1:35" s="23" customFormat="1" x14ac:dyDescent="0.25">
      <c r="A82" s="48">
        <v>43082</v>
      </c>
      <c r="B82" s="23" t="s">
        <v>182</v>
      </c>
      <c r="C82" s="23" t="s">
        <v>183</v>
      </c>
      <c r="D82" s="52">
        <v>201079</v>
      </c>
      <c r="E82" s="28">
        <v>144</v>
      </c>
      <c r="F82" s="28">
        <v>24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>
        <v>120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s="23" customFormat="1" x14ac:dyDescent="0.25">
      <c r="A83" s="48">
        <v>43082</v>
      </c>
      <c r="B83" s="23" t="s">
        <v>20</v>
      </c>
      <c r="C83" s="23" t="s">
        <v>156</v>
      </c>
      <c r="D83" s="52">
        <v>201080</v>
      </c>
      <c r="E83" s="28">
        <v>337.2</v>
      </c>
      <c r="F83" s="28">
        <v>56.2</v>
      </c>
      <c r="G83" s="28"/>
      <c r="H83" s="28"/>
      <c r="I83" s="28"/>
      <c r="J83" s="28">
        <v>281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s="23" customFormat="1" x14ac:dyDescent="0.25">
      <c r="A84" s="48">
        <v>43082</v>
      </c>
      <c r="B84" s="23" t="s">
        <v>85</v>
      </c>
      <c r="C84" s="23" t="s">
        <v>100</v>
      </c>
      <c r="D84" s="52">
        <v>201081</v>
      </c>
      <c r="E84" s="28">
        <v>420</v>
      </c>
      <c r="F84" s="28">
        <v>0</v>
      </c>
      <c r="G84" s="28"/>
      <c r="H84" s="28"/>
      <c r="I84" s="28">
        <v>420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s="23" customFormat="1" x14ac:dyDescent="0.25">
      <c r="A85" s="48">
        <v>43082</v>
      </c>
      <c r="B85" s="23" t="s">
        <v>8</v>
      </c>
      <c r="C85" s="23" t="s">
        <v>184</v>
      </c>
      <c r="D85" s="52">
        <v>201082</v>
      </c>
      <c r="E85" s="28">
        <v>8</v>
      </c>
      <c r="F85" s="28">
        <v>0</v>
      </c>
      <c r="G85" s="28"/>
      <c r="H85" s="28"/>
      <c r="I85" s="28"/>
      <c r="J85" s="28"/>
      <c r="K85" s="28"/>
      <c r="L85" s="28"/>
      <c r="M85" s="28"/>
      <c r="N85" s="28"/>
      <c r="O85" s="28"/>
      <c r="P85" s="28">
        <v>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s="23" customFormat="1" x14ac:dyDescent="0.25">
      <c r="A86" s="48">
        <v>43082</v>
      </c>
      <c r="B86" s="23" t="s">
        <v>29</v>
      </c>
      <c r="C86" s="23" t="s">
        <v>187</v>
      </c>
      <c r="D86" s="52">
        <v>201083</v>
      </c>
      <c r="E86" s="28">
        <f>203.95+2.67</f>
        <v>206.61999999999998</v>
      </c>
      <c r="F86" s="28">
        <v>0</v>
      </c>
      <c r="G86" s="28"/>
      <c r="H86" s="28"/>
      <c r="I86" s="28"/>
      <c r="J86" s="28"/>
      <c r="K86" s="28"/>
      <c r="L86" s="28">
        <v>203.95</v>
      </c>
      <c r="M86" s="28"/>
      <c r="N86" s="28"/>
      <c r="O86" s="28"/>
      <c r="P86" s="28"/>
      <c r="Q86" s="28"/>
      <c r="R86" s="28"/>
      <c r="S86" s="28"/>
      <c r="T86" s="28"/>
      <c r="U86" s="28">
        <v>2.67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s="23" customFormat="1" x14ac:dyDescent="0.25">
      <c r="A87" s="48">
        <v>43082</v>
      </c>
      <c r="B87" s="23" t="s">
        <v>22</v>
      </c>
      <c r="C87" s="23" t="s">
        <v>72</v>
      </c>
      <c r="D87" s="52">
        <v>201084</v>
      </c>
      <c r="E87" s="28">
        <v>424.17</v>
      </c>
      <c r="F87" s="28">
        <v>0</v>
      </c>
      <c r="G87" s="28"/>
      <c r="H87" s="28"/>
      <c r="I87" s="28"/>
      <c r="J87" s="28"/>
      <c r="K87" s="28"/>
      <c r="L87" s="28">
        <v>414.17</v>
      </c>
      <c r="M87" s="28">
        <v>10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s="23" customFormat="1" x14ac:dyDescent="0.25">
      <c r="A88" s="48">
        <v>43082</v>
      </c>
      <c r="B88" s="23" t="s">
        <v>22</v>
      </c>
      <c r="C88" s="23" t="s">
        <v>185</v>
      </c>
      <c r="D88" s="52">
        <v>201085</v>
      </c>
      <c r="E88" s="28">
        <f>120+99.99+11.29+6.72+6.72</f>
        <v>244.72</v>
      </c>
      <c r="F88" s="28">
        <f>20+16.66</f>
        <v>36.659999999999997</v>
      </c>
      <c r="G88" s="28"/>
      <c r="H88" s="28"/>
      <c r="I88" s="28">
        <v>120</v>
      </c>
      <c r="J88" s="28"/>
      <c r="K88" s="28"/>
      <c r="L88" s="28"/>
      <c r="M88" s="28"/>
      <c r="N88" s="28"/>
      <c r="O88" s="28">
        <f>6.72*2</f>
        <v>13.44</v>
      </c>
      <c r="P88" s="28"/>
      <c r="Q88" s="28"/>
      <c r="R88" s="28">
        <v>11.29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>
        <f>99.99-16.66</f>
        <v>83.33</v>
      </c>
      <c r="AI88" s="28"/>
    </row>
    <row r="89" spans="1:35" s="23" customFormat="1" x14ac:dyDescent="0.25">
      <c r="A89" s="48">
        <v>43110</v>
      </c>
      <c r="B89" s="23" t="s">
        <v>42</v>
      </c>
      <c r="C89" s="23" t="s">
        <v>99</v>
      </c>
      <c r="D89" s="52">
        <v>201086</v>
      </c>
      <c r="E89" s="28">
        <v>42.02</v>
      </c>
      <c r="F89" s="28">
        <v>0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>
        <v>42.02</v>
      </c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s="23" customFormat="1" x14ac:dyDescent="0.25">
      <c r="A90" s="48">
        <v>43110</v>
      </c>
      <c r="B90" s="23" t="s">
        <v>37</v>
      </c>
      <c r="D90" s="52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s="23" customFormat="1" x14ac:dyDescent="0.25">
      <c r="A91" s="48">
        <v>43110</v>
      </c>
      <c r="B91" s="23" t="s">
        <v>201</v>
      </c>
      <c r="C91" s="23" t="s">
        <v>202</v>
      </c>
      <c r="D91" s="52">
        <v>201088</v>
      </c>
      <c r="E91" s="28">
        <v>1440</v>
      </c>
      <c r="F91" s="28">
        <v>240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>
        <v>1200</v>
      </c>
    </row>
    <row r="92" spans="1:35" s="23" customFormat="1" x14ac:dyDescent="0.25">
      <c r="A92" s="48">
        <v>43110</v>
      </c>
      <c r="B92" s="23" t="s">
        <v>22</v>
      </c>
      <c r="C92" s="23" t="s">
        <v>72</v>
      </c>
      <c r="D92" s="52">
        <v>201089</v>
      </c>
      <c r="E92" s="28">
        <v>424.17</v>
      </c>
      <c r="F92" s="28">
        <v>0</v>
      </c>
      <c r="G92" s="28"/>
      <c r="H92" s="28"/>
      <c r="I92" s="28"/>
      <c r="J92" s="28"/>
      <c r="K92" s="28"/>
      <c r="L92" s="28">
        <v>414.17</v>
      </c>
      <c r="M92" s="28">
        <v>10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s="23" customFormat="1" x14ac:dyDescent="0.25">
      <c r="A93" s="48">
        <v>43110</v>
      </c>
      <c r="B93" s="23" t="s">
        <v>29</v>
      </c>
      <c r="C93" s="23" t="s">
        <v>203</v>
      </c>
      <c r="D93" s="52">
        <v>201090</v>
      </c>
      <c r="E93" s="28">
        <v>195</v>
      </c>
      <c r="F93" s="28">
        <v>0</v>
      </c>
      <c r="G93" s="28"/>
      <c r="H93" s="28"/>
      <c r="I93" s="28"/>
      <c r="J93" s="28"/>
      <c r="K93" s="28"/>
      <c r="L93" s="28">
        <v>195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s="23" customFormat="1" x14ac:dyDescent="0.25">
      <c r="A94" s="48">
        <v>43110</v>
      </c>
      <c r="B94" s="23" t="s">
        <v>204</v>
      </c>
      <c r="C94" s="23" t="s">
        <v>205</v>
      </c>
      <c r="D94" s="52">
        <v>201091</v>
      </c>
      <c r="E94" s="28">
        <v>1290</v>
      </c>
      <c r="F94" s="28">
        <v>0</v>
      </c>
      <c r="G94" s="28"/>
      <c r="H94" s="28"/>
      <c r="I94" s="28">
        <v>1290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s="23" customFormat="1" x14ac:dyDescent="0.25">
      <c r="A95" s="48">
        <v>43110</v>
      </c>
      <c r="B95" s="23" t="s">
        <v>85</v>
      </c>
      <c r="C95" s="23" t="s">
        <v>206</v>
      </c>
      <c r="D95" s="52">
        <v>201092</v>
      </c>
      <c r="E95" s="28">
        <v>500</v>
      </c>
      <c r="F95" s="28">
        <v>0</v>
      </c>
      <c r="G95" s="28"/>
      <c r="H95" s="28"/>
      <c r="I95" s="28">
        <v>500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s="23" customFormat="1" x14ac:dyDescent="0.25">
      <c r="A96" s="48"/>
      <c r="B96" s="23" t="s">
        <v>294</v>
      </c>
      <c r="C96" s="23" t="s">
        <v>295</v>
      </c>
      <c r="D96" s="52"/>
      <c r="E96" s="28">
        <v>-250</v>
      </c>
      <c r="F96" s="28"/>
      <c r="G96" s="28"/>
      <c r="H96" s="28"/>
      <c r="I96" s="28">
        <v>-250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s="23" customFormat="1" x14ac:dyDescent="0.25">
      <c r="A97" s="48">
        <v>43145</v>
      </c>
      <c r="B97" s="23" t="s">
        <v>164</v>
      </c>
      <c r="C97" s="23" t="s">
        <v>200</v>
      </c>
      <c r="D97" s="52">
        <v>201093</v>
      </c>
      <c r="E97" s="28">
        <v>5162.2700000000004</v>
      </c>
      <c r="F97" s="28">
        <v>0</v>
      </c>
      <c r="G97" s="28"/>
      <c r="H97" s="28"/>
      <c r="I97" s="28"/>
      <c r="J97" s="28"/>
      <c r="K97" s="28">
        <v>5162.2700000000004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s="23" customFormat="1" x14ac:dyDescent="0.25">
      <c r="A98" s="48">
        <v>43145</v>
      </c>
      <c r="B98" s="23" t="s">
        <v>164</v>
      </c>
      <c r="C98" s="23" t="s">
        <v>270</v>
      </c>
      <c r="D98" s="52">
        <v>201094</v>
      </c>
      <c r="E98" s="28">
        <f>3926.4+1152</f>
        <v>5078.3999999999996</v>
      </c>
      <c r="F98" s="28">
        <f>654.4+192</f>
        <v>846.4</v>
      </c>
      <c r="G98" s="28"/>
      <c r="H98" s="28"/>
      <c r="I98" s="28"/>
      <c r="J98" s="28"/>
      <c r="K98" s="28">
        <f>3272+960</f>
        <v>4232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s="23" customFormat="1" x14ac:dyDescent="0.25">
      <c r="A99" s="48">
        <v>43145</v>
      </c>
      <c r="B99" s="23" t="s">
        <v>22</v>
      </c>
      <c r="C99" s="23" t="s">
        <v>271</v>
      </c>
      <c r="D99" s="52">
        <v>201095</v>
      </c>
      <c r="E99" s="28">
        <v>449.86</v>
      </c>
      <c r="F99" s="28">
        <v>0</v>
      </c>
      <c r="G99" s="28"/>
      <c r="H99" s="28"/>
      <c r="I99" s="28"/>
      <c r="J99" s="28"/>
      <c r="K99" s="28">
        <v>19.97</v>
      </c>
      <c r="L99" s="28">
        <v>414.17</v>
      </c>
      <c r="M99" s="28">
        <v>10</v>
      </c>
      <c r="N99" s="28"/>
      <c r="O99" s="28">
        <v>5.72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s="23" customFormat="1" x14ac:dyDescent="0.25">
      <c r="A100" s="48">
        <v>43145</v>
      </c>
      <c r="B100" s="23" t="s">
        <v>29</v>
      </c>
      <c r="C100" s="23" t="s">
        <v>187</v>
      </c>
      <c r="D100" s="52">
        <v>201096</v>
      </c>
      <c r="E100" s="28">
        <v>215.63</v>
      </c>
      <c r="F100" s="28">
        <v>0</v>
      </c>
      <c r="G100" s="28"/>
      <c r="H100" s="28"/>
      <c r="I100" s="28"/>
      <c r="J100" s="28"/>
      <c r="K100" s="28"/>
      <c r="L100" s="28">
        <v>215.63</v>
      </c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s="23" customFormat="1" x14ac:dyDescent="0.25">
      <c r="A101" s="48">
        <v>43145</v>
      </c>
      <c r="B101" s="23" t="s">
        <v>272</v>
      </c>
      <c r="C101" s="23" t="s">
        <v>273</v>
      </c>
      <c r="D101" s="52">
        <v>201097</v>
      </c>
      <c r="E101" s="28">
        <v>190</v>
      </c>
      <c r="F101" s="28">
        <v>0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>
        <v>190</v>
      </c>
    </row>
    <row r="102" spans="1:35" s="37" customFormat="1" x14ac:dyDescent="0.25">
      <c r="A102" s="36">
        <v>43145</v>
      </c>
      <c r="B102" s="37" t="s">
        <v>0</v>
      </c>
      <c r="C102" s="37" t="s">
        <v>274</v>
      </c>
      <c r="D102" s="39">
        <v>201098</v>
      </c>
      <c r="E102" s="38">
        <v>200</v>
      </c>
      <c r="F102" s="38">
        <v>0</v>
      </c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>
        <v>200</v>
      </c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s="23" customFormat="1" x14ac:dyDescent="0.25">
      <c r="A103" s="48">
        <v>43173</v>
      </c>
      <c r="B103" s="23" t="s">
        <v>20</v>
      </c>
      <c r="C103" s="23" t="s">
        <v>224</v>
      </c>
      <c r="D103" s="52">
        <v>201099</v>
      </c>
      <c r="E103" s="28">
        <v>2509.1999999999998</v>
      </c>
      <c r="F103" s="28">
        <v>418.2</v>
      </c>
      <c r="G103" s="28"/>
      <c r="H103" s="28"/>
      <c r="I103" s="28">
        <v>2091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s="23" customFormat="1" x14ac:dyDescent="0.25">
      <c r="A104" s="48">
        <v>43173</v>
      </c>
      <c r="B104" s="23" t="s">
        <v>47</v>
      </c>
      <c r="C104" s="23" t="s">
        <v>28</v>
      </c>
      <c r="D104" s="52">
        <v>201100</v>
      </c>
      <c r="E104" s="28">
        <f>118.06+3.2</f>
        <v>121.26</v>
      </c>
      <c r="F104" s="28">
        <f>13.34+0.53</f>
        <v>13.87</v>
      </c>
      <c r="G104" s="28"/>
      <c r="H104" s="28"/>
      <c r="I104" s="28"/>
      <c r="J104" s="28"/>
      <c r="K104" s="28"/>
      <c r="L104" s="28"/>
      <c r="M104" s="28"/>
      <c r="N104" s="28">
        <f>112.26-13.87-38</f>
        <v>60.39</v>
      </c>
      <c r="O104" s="28">
        <v>38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s="23" customFormat="1" x14ac:dyDescent="0.25">
      <c r="A105" s="48">
        <v>43173</v>
      </c>
      <c r="B105" s="23" t="s">
        <v>8</v>
      </c>
      <c r="C105" s="23" t="s">
        <v>276</v>
      </c>
      <c r="D105" s="52">
        <v>201101</v>
      </c>
      <c r="E105" s="28">
        <v>8</v>
      </c>
      <c r="F105" s="28">
        <v>0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>
        <v>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 s="23" customFormat="1" x14ac:dyDescent="0.25">
      <c r="A106" s="48">
        <v>43173</v>
      </c>
      <c r="B106" s="23" t="s">
        <v>42</v>
      </c>
      <c r="C106" s="23" t="s">
        <v>155</v>
      </c>
      <c r="D106" s="52">
        <v>201102</v>
      </c>
      <c r="E106" s="28">
        <v>236.6</v>
      </c>
      <c r="F106" s="28"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>
        <v>236.6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 s="23" customFormat="1" x14ac:dyDescent="0.25">
      <c r="A107" s="48">
        <v>43173</v>
      </c>
      <c r="B107" s="23" t="s">
        <v>12</v>
      </c>
      <c r="C107" s="23" t="s">
        <v>13</v>
      </c>
      <c r="D107" s="52">
        <v>201103</v>
      </c>
      <c r="E107" s="28">
        <v>368.64</v>
      </c>
      <c r="F107" s="28">
        <v>61.44</v>
      </c>
      <c r="G107" s="28"/>
      <c r="H107" s="28">
        <v>307.2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 s="23" customFormat="1" ht="14.25" customHeight="1" x14ac:dyDescent="0.25">
      <c r="A108" s="48">
        <v>43173</v>
      </c>
      <c r="B108" s="23" t="s">
        <v>29</v>
      </c>
      <c r="C108" s="23" t="s">
        <v>203</v>
      </c>
      <c r="D108" s="52">
        <v>201104</v>
      </c>
      <c r="E108" s="28">
        <v>195</v>
      </c>
      <c r="F108" s="28">
        <v>0</v>
      </c>
      <c r="G108" s="28"/>
      <c r="H108" s="28"/>
      <c r="I108" s="28"/>
      <c r="J108" s="28"/>
      <c r="K108" s="28"/>
      <c r="L108" s="28">
        <v>195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 s="23" customFormat="1" x14ac:dyDescent="0.25">
      <c r="A109" s="48">
        <v>43173</v>
      </c>
      <c r="B109" s="23" t="s">
        <v>22</v>
      </c>
      <c r="C109" s="23" t="s">
        <v>72</v>
      </c>
      <c r="D109" s="52">
        <v>201105</v>
      </c>
      <c r="E109" s="28">
        <v>458.22</v>
      </c>
      <c r="F109" s="28">
        <v>0</v>
      </c>
      <c r="G109" s="28"/>
      <c r="H109" s="28"/>
      <c r="I109" s="28"/>
      <c r="J109" s="28"/>
      <c r="K109" s="28"/>
      <c r="L109" s="28">
        <v>414.17</v>
      </c>
      <c r="M109" s="28">
        <v>10</v>
      </c>
      <c r="N109" s="28">
        <v>14.56</v>
      </c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>
        <v>4.5</v>
      </c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 ht="15.75" thickBot="1" x14ac:dyDescent="0.3">
      <c r="E110" s="14">
        <f>SUM(E5:E109)</f>
        <v>53476.159999999989</v>
      </c>
      <c r="F110" s="14">
        <f t="shared" ref="F110:AI110" si="0">SUM(F5:F109)</f>
        <v>4012.4283333333328</v>
      </c>
      <c r="G110" s="14">
        <f t="shared" si="0"/>
        <v>326.93</v>
      </c>
      <c r="H110" s="14">
        <f t="shared" si="0"/>
        <v>614.4</v>
      </c>
      <c r="I110" s="14">
        <f t="shared" si="0"/>
        <v>6870.67</v>
      </c>
      <c r="J110" s="14">
        <f t="shared" si="0"/>
        <v>4240</v>
      </c>
      <c r="K110" s="14">
        <f t="shared" si="0"/>
        <v>14260.63</v>
      </c>
      <c r="L110" s="14">
        <f t="shared" si="0"/>
        <v>7183.9000000000005</v>
      </c>
      <c r="M110" s="14">
        <f t="shared" si="0"/>
        <v>120</v>
      </c>
      <c r="N110" s="14">
        <f t="shared" si="0"/>
        <v>177.01</v>
      </c>
      <c r="O110" s="14">
        <f t="shared" si="0"/>
        <v>104.2</v>
      </c>
      <c r="P110" s="14">
        <f t="shared" si="0"/>
        <v>161</v>
      </c>
      <c r="Q110" s="14">
        <f t="shared" si="0"/>
        <v>5582.5</v>
      </c>
      <c r="R110" s="14">
        <f t="shared" si="0"/>
        <v>331.28000000000003</v>
      </c>
      <c r="S110" s="14">
        <f t="shared" si="0"/>
        <v>155.83000000000001</v>
      </c>
      <c r="T110" s="14">
        <f t="shared" si="0"/>
        <v>518.22</v>
      </c>
      <c r="U110" s="14">
        <f t="shared" si="0"/>
        <v>48.14</v>
      </c>
      <c r="V110" s="14">
        <f t="shared" si="0"/>
        <v>40</v>
      </c>
      <c r="W110" s="14">
        <f t="shared" si="0"/>
        <v>804.44</v>
      </c>
      <c r="X110" s="14">
        <f t="shared" si="0"/>
        <v>600</v>
      </c>
      <c r="Y110" s="14">
        <f t="shared" si="0"/>
        <v>385.5</v>
      </c>
      <c r="Z110" s="14">
        <f t="shared" si="0"/>
        <v>49.5</v>
      </c>
      <c r="AA110" s="14">
        <f t="shared" si="0"/>
        <v>1100</v>
      </c>
      <c r="AB110" s="14">
        <f t="shared" si="0"/>
        <v>395</v>
      </c>
      <c r="AC110" s="14">
        <f t="shared" si="0"/>
        <v>2889.16</v>
      </c>
      <c r="AD110" s="14">
        <f t="shared" si="0"/>
        <v>30</v>
      </c>
      <c r="AE110" s="14">
        <f t="shared" si="0"/>
        <v>400</v>
      </c>
      <c r="AF110" s="14">
        <f t="shared" si="0"/>
        <v>124.3</v>
      </c>
      <c r="AG110" s="14">
        <f t="shared" si="0"/>
        <v>510</v>
      </c>
      <c r="AH110" s="14">
        <f t="shared" si="0"/>
        <v>83.33</v>
      </c>
      <c r="AI110" s="14">
        <f t="shared" si="0"/>
        <v>1390</v>
      </c>
    </row>
    <row r="111" spans="1:35" ht="15.75" thickTop="1" x14ac:dyDescent="0.25"/>
    <row r="117" spans="5:5" x14ac:dyDescent="0.25">
      <c r="E117" s="7">
        <f>E110-7304</f>
        <v>46172.159999999989</v>
      </c>
    </row>
  </sheetData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opLeftCell="A37" workbookViewId="0">
      <selection activeCell="E58" sqref="E58"/>
    </sheetView>
  </sheetViews>
  <sheetFormatPr defaultRowHeight="15" x14ac:dyDescent="0.25"/>
  <cols>
    <col min="1" max="1" width="24.85546875" style="23" bestFit="1" customWidth="1"/>
    <col min="2" max="2" width="14.28515625" style="23" customWidth="1"/>
    <col min="3" max="3" width="16.28515625" customWidth="1"/>
  </cols>
  <sheetData>
    <row r="1" spans="1:5" x14ac:dyDescent="0.25">
      <c r="A1" s="19" t="s">
        <v>105</v>
      </c>
      <c r="B1" s="25"/>
    </row>
    <row r="2" spans="1:5" x14ac:dyDescent="0.25">
      <c r="A2" s="20"/>
      <c r="B2" s="26"/>
    </row>
    <row r="3" spans="1:5" x14ac:dyDescent="0.25">
      <c r="A3" s="20" t="s">
        <v>106</v>
      </c>
      <c r="B3" s="26"/>
    </row>
    <row r="4" spans="1:5" s="17" customFormat="1" ht="15.75" customHeight="1" x14ac:dyDescent="0.25">
      <c r="A4" s="20"/>
      <c r="B4" s="32" t="s">
        <v>143</v>
      </c>
      <c r="C4" s="17" t="s">
        <v>147</v>
      </c>
      <c r="D4" s="17" t="s">
        <v>144</v>
      </c>
    </row>
    <row r="5" spans="1:5" s="17" customFormat="1" x14ac:dyDescent="0.25">
      <c r="A5" s="31"/>
      <c r="B5" s="32"/>
      <c r="C5" s="33">
        <v>43173</v>
      </c>
      <c r="D5" s="17" t="s">
        <v>145</v>
      </c>
    </row>
    <row r="6" spans="1:5" x14ac:dyDescent="0.25">
      <c r="A6" s="21" t="s">
        <v>107</v>
      </c>
      <c r="B6" s="26">
        <v>39000</v>
      </c>
      <c r="C6">
        <v>39000</v>
      </c>
      <c r="D6" s="7">
        <f>B6-C6</f>
        <v>0</v>
      </c>
    </row>
    <row r="7" spans="1:5" x14ac:dyDescent="0.25">
      <c r="A7" s="21" t="s">
        <v>108</v>
      </c>
      <c r="B7" s="26">
        <v>300</v>
      </c>
      <c r="C7">
        <v>500</v>
      </c>
      <c r="D7" s="7">
        <v>50</v>
      </c>
    </row>
    <row r="8" spans="1:5" x14ac:dyDescent="0.25">
      <c r="A8" s="21" t="s">
        <v>109</v>
      </c>
      <c r="B8" s="26">
        <v>100</v>
      </c>
      <c r="C8">
        <v>200</v>
      </c>
      <c r="D8" s="7">
        <f t="shared" ref="D8:D13" si="0">B8-C8</f>
        <v>-100</v>
      </c>
    </row>
    <row r="9" spans="1:5" x14ac:dyDescent="0.25">
      <c r="A9" s="21" t="s">
        <v>110</v>
      </c>
      <c r="B9" s="26">
        <v>0</v>
      </c>
      <c r="C9">
        <v>473</v>
      </c>
      <c r="D9" s="7">
        <f t="shared" si="0"/>
        <v>-473</v>
      </c>
    </row>
    <row r="10" spans="1:5" x14ac:dyDescent="0.25">
      <c r="A10" s="21" t="s">
        <v>111</v>
      </c>
      <c r="B10" s="26">
        <v>1</v>
      </c>
      <c r="C10">
        <v>1</v>
      </c>
      <c r="D10" s="7">
        <f t="shared" si="0"/>
        <v>0</v>
      </c>
    </row>
    <row r="11" spans="1:5" x14ac:dyDescent="0.25">
      <c r="A11" s="21" t="s">
        <v>112</v>
      </c>
      <c r="B11" s="26">
        <v>14500</v>
      </c>
      <c r="C11">
        <v>14500</v>
      </c>
      <c r="D11" s="7">
        <f t="shared" si="0"/>
        <v>0</v>
      </c>
    </row>
    <row r="12" spans="1:5" x14ac:dyDescent="0.25">
      <c r="A12" s="21" t="s">
        <v>103</v>
      </c>
      <c r="B12" s="26">
        <v>10</v>
      </c>
      <c r="C12" s="7">
        <f>Income!F39+Income!G39</f>
        <v>9.9399999999999977</v>
      </c>
      <c r="D12" s="7">
        <f t="shared" si="0"/>
        <v>6.0000000000002274E-2</v>
      </c>
    </row>
    <row r="13" spans="1:5" x14ac:dyDescent="0.25">
      <c r="A13" s="21" t="s">
        <v>113</v>
      </c>
      <c r="B13" s="27">
        <v>0</v>
      </c>
      <c r="C13" s="34">
        <v>5582.5</v>
      </c>
      <c r="D13" s="35">
        <f t="shared" si="0"/>
        <v>-5582.5</v>
      </c>
      <c r="E13" t="s">
        <v>277</v>
      </c>
    </row>
    <row r="14" spans="1:5" x14ac:dyDescent="0.25">
      <c r="A14" s="22" t="s">
        <v>114</v>
      </c>
      <c r="B14" s="26">
        <f>SUM(B6:B13)</f>
        <v>53911</v>
      </c>
      <c r="C14" s="26">
        <f t="shared" ref="C14" si="1">SUM(C6:C13)</f>
        <v>60266.44</v>
      </c>
      <c r="D14" s="26">
        <f>SUM(D6:D13)</f>
        <v>-6105.4400000000005</v>
      </c>
    </row>
    <row r="15" spans="1:5" x14ac:dyDescent="0.25">
      <c r="A15" s="22"/>
      <c r="B15" s="26"/>
    </row>
    <row r="16" spans="1:5" x14ac:dyDescent="0.25">
      <c r="A16" s="20" t="s">
        <v>115</v>
      </c>
      <c r="B16" s="26"/>
    </row>
    <row r="17" spans="1:4" s="17" customFormat="1" ht="15.75" customHeight="1" x14ac:dyDescent="0.25">
      <c r="A17" s="20"/>
      <c r="B17" s="32" t="s">
        <v>143</v>
      </c>
      <c r="C17" s="17" t="s">
        <v>146</v>
      </c>
      <c r="D17" s="17" t="s">
        <v>144</v>
      </c>
    </row>
    <row r="18" spans="1:4" s="17" customFormat="1" x14ac:dyDescent="0.25">
      <c r="A18" s="31"/>
      <c r="B18" s="32"/>
      <c r="C18" s="33">
        <v>43173</v>
      </c>
      <c r="D18" s="17" t="s">
        <v>145</v>
      </c>
    </row>
    <row r="19" spans="1:4" x14ac:dyDescent="0.25">
      <c r="A19" s="21" t="s">
        <v>111</v>
      </c>
      <c r="B19" s="28">
        <v>1000</v>
      </c>
      <c r="C19">
        <v>0</v>
      </c>
      <c r="D19" s="7">
        <f>B19-C19</f>
        <v>1000</v>
      </c>
    </row>
    <row r="20" spans="1:4" x14ac:dyDescent="0.25">
      <c r="A20" s="21" t="s">
        <v>112</v>
      </c>
      <c r="B20" s="23">
        <v>3000</v>
      </c>
      <c r="C20" s="7">
        <f>Expenditure!AI110</f>
        <v>1390</v>
      </c>
      <c r="D20" s="7">
        <f t="shared" ref="D20:D50" si="2">B20-C20</f>
        <v>1610</v>
      </c>
    </row>
    <row r="21" spans="1:4" x14ac:dyDescent="0.25">
      <c r="A21" s="21" t="s">
        <v>116</v>
      </c>
      <c r="B21" s="23">
        <v>500</v>
      </c>
      <c r="C21">
        <v>0</v>
      </c>
      <c r="D21" s="7">
        <f t="shared" si="2"/>
        <v>500</v>
      </c>
    </row>
    <row r="22" spans="1:4" x14ac:dyDescent="0.25">
      <c r="A22" s="21" t="s">
        <v>117</v>
      </c>
      <c r="B22" s="23">
        <v>1500</v>
      </c>
      <c r="C22" s="7">
        <f>Expenditure!AA110</f>
        <v>1100</v>
      </c>
      <c r="D22" s="7">
        <f t="shared" si="2"/>
        <v>400</v>
      </c>
    </row>
    <row r="23" spans="1:4" x14ac:dyDescent="0.25">
      <c r="A23" s="21" t="s">
        <v>118</v>
      </c>
      <c r="B23" s="23">
        <v>15000</v>
      </c>
      <c r="C23" s="7">
        <f>Expenditure!K110</f>
        <v>14260.63</v>
      </c>
      <c r="D23" s="7">
        <f t="shared" si="2"/>
        <v>739.3700000000008</v>
      </c>
    </row>
    <row r="24" spans="1:4" x14ac:dyDescent="0.25">
      <c r="A24" s="21" t="s">
        <v>119</v>
      </c>
      <c r="B24" s="23">
        <v>800</v>
      </c>
      <c r="C24" s="7">
        <f>Expenditure!S110+Expenditure!T110+Expenditure!U110</f>
        <v>722.19</v>
      </c>
      <c r="D24" s="7">
        <f t="shared" si="2"/>
        <v>77.809999999999945</v>
      </c>
    </row>
    <row r="25" spans="1:4" x14ac:dyDescent="0.25">
      <c r="A25" s="21" t="s">
        <v>110</v>
      </c>
      <c r="B25" s="23">
        <v>4500</v>
      </c>
      <c r="C25" s="7">
        <f>Expenditure!J110</f>
        <v>4240</v>
      </c>
      <c r="D25" s="7">
        <f t="shared" si="2"/>
        <v>260</v>
      </c>
    </row>
    <row r="26" spans="1:4" x14ac:dyDescent="0.25">
      <c r="A26" s="21" t="s">
        <v>120</v>
      </c>
      <c r="B26" s="23">
        <v>800</v>
      </c>
      <c r="C26" s="7">
        <f>Expenditure!AG110</f>
        <v>510</v>
      </c>
      <c r="D26" s="7">
        <f t="shared" si="2"/>
        <v>290</v>
      </c>
    </row>
    <row r="27" spans="1:4" x14ac:dyDescent="0.25">
      <c r="A27" s="21" t="s">
        <v>121</v>
      </c>
      <c r="B27" s="23">
        <v>0</v>
      </c>
      <c r="C27">
        <v>0</v>
      </c>
      <c r="D27" s="7">
        <f t="shared" si="2"/>
        <v>0</v>
      </c>
    </row>
    <row r="28" spans="1:4" x14ac:dyDescent="0.25">
      <c r="A28" s="21" t="s">
        <v>122</v>
      </c>
      <c r="B28" s="23">
        <v>8000</v>
      </c>
      <c r="C28" s="7">
        <f>Expenditure!L110</f>
        <v>7183.9000000000005</v>
      </c>
      <c r="D28" s="7">
        <f t="shared" si="2"/>
        <v>816.09999999999945</v>
      </c>
    </row>
    <row r="29" spans="1:4" x14ac:dyDescent="0.25">
      <c r="A29" s="21" t="s">
        <v>123</v>
      </c>
      <c r="B29" s="23">
        <v>0</v>
      </c>
      <c r="C29">
        <v>0</v>
      </c>
      <c r="D29" s="7">
        <f t="shared" si="2"/>
        <v>0</v>
      </c>
    </row>
    <row r="30" spans="1:4" x14ac:dyDescent="0.25">
      <c r="A30" s="21" t="s">
        <v>124</v>
      </c>
      <c r="B30" s="23">
        <v>5000</v>
      </c>
      <c r="C30" s="7">
        <f>Expenditure!AH110</f>
        <v>83.33</v>
      </c>
      <c r="D30" s="7">
        <f t="shared" si="2"/>
        <v>4916.67</v>
      </c>
    </row>
    <row r="31" spans="1:4" x14ac:dyDescent="0.25">
      <c r="A31" s="21" t="s">
        <v>125</v>
      </c>
      <c r="B31" s="23">
        <v>2800</v>
      </c>
      <c r="C31" s="7">
        <f>Expenditure!AC110</f>
        <v>2889.16</v>
      </c>
      <c r="D31" s="7">
        <f t="shared" si="2"/>
        <v>-89.159999999999854</v>
      </c>
    </row>
    <row r="32" spans="1:4" x14ac:dyDescent="0.25">
      <c r="A32" s="21" t="s">
        <v>126</v>
      </c>
      <c r="B32" s="23">
        <v>300</v>
      </c>
      <c r="C32">
        <v>0</v>
      </c>
      <c r="D32" s="7">
        <f t="shared" si="2"/>
        <v>300</v>
      </c>
    </row>
    <row r="33" spans="1:6" x14ac:dyDescent="0.25">
      <c r="A33" s="21" t="s">
        <v>127</v>
      </c>
      <c r="B33" s="23">
        <v>500</v>
      </c>
      <c r="C33" s="7">
        <f>Expenditure!G110+Expenditure!AF110</f>
        <v>451.23</v>
      </c>
      <c r="D33" s="7">
        <f t="shared" si="2"/>
        <v>48.769999999999982</v>
      </c>
    </row>
    <row r="34" spans="1:6" x14ac:dyDescent="0.25">
      <c r="A34" s="21" t="s">
        <v>128</v>
      </c>
      <c r="B34" s="23">
        <v>400</v>
      </c>
      <c r="C34" s="7">
        <f>Expenditure!AE110</f>
        <v>400</v>
      </c>
      <c r="D34" s="7">
        <f t="shared" si="2"/>
        <v>0</v>
      </c>
    </row>
    <row r="35" spans="1:6" x14ac:dyDescent="0.25">
      <c r="A35" s="21" t="s">
        <v>129</v>
      </c>
      <c r="B35" s="23">
        <v>400</v>
      </c>
      <c r="C35" s="7">
        <f>Expenditure!AB110</f>
        <v>395</v>
      </c>
      <c r="D35" s="7">
        <f t="shared" si="2"/>
        <v>5</v>
      </c>
    </row>
    <row r="36" spans="1:6" x14ac:dyDescent="0.25">
      <c r="A36" s="21" t="s">
        <v>130</v>
      </c>
      <c r="B36" s="23">
        <v>300</v>
      </c>
      <c r="C36" s="7">
        <f>Expenditure!P110</f>
        <v>161</v>
      </c>
      <c r="D36" s="7">
        <f t="shared" si="2"/>
        <v>139</v>
      </c>
    </row>
    <row r="37" spans="1:6" x14ac:dyDescent="0.25">
      <c r="A37" s="21" t="s">
        <v>131</v>
      </c>
      <c r="B37" s="23">
        <v>6000</v>
      </c>
      <c r="C37" s="7">
        <f>Expenditure!I110</f>
        <v>6870.67</v>
      </c>
      <c r="D37" s="7">
        <f t="shared" si="2"/>
        <v>-870.67000000000007</v>
      </c>
    </row>
    <row r="38" spans="1:6" x14ac:dyDescent="0.25">
      <c r="A38" s="21" t="s">
        <v>132</v>
      </c>
      <c r="B38" s="23">
        <v>1000</v>
      </c>
      <c r="C38" s="7">
        <f>Expenditure!W110</f>
        <v>804.44</v>
      </c>
      <c r="D38" s="7">
        <f t="shared" si="2"/>
        <v>195.55999999999995</v>
      </c>
      <c r="F38" t="s">
        <v>174</v>
      </c>
    </row>
    <row r="39" spans="1:6" x14ac:dyDescent="0.25">
      <c r="A39" s="21" t="s">
        <v>133</v>
      </c>
      <c r="B39" s="23">
        <f>15*12</f>
        <v>180</v>
      </c>
      <c r="C39" s="7">
        <f>Expenditure!M110</f>
        <v>120</v>
      </c>
      <c r="D39" s="7">
        <f t="shared" si="2"/>
        <v>60</v>
      </c>
    </row>
    <row r="40" spans="1:6" x14ac:dyDescent="0.25">
      <c r="A40" s="21" t="s">
        <v>134</v>
      </c>
      <c r="B40" s="23">
        <v>320</v>
      </c>
      <c r="C40" s="7">
        <f>Expenditure!H110</f>
        <v>614.4</v>
      </c>
      <c r="D40" s="7">
        <f t="shared" si="2"/>
        <v>-294.39999999999998</v>
      </c>
    </row>
    <row r="41" spans="1:6" x14ac:dyDescent="0.25">
      <c r="A41" s="21" t="s">
        <v>199</v>
      </c>
      <c r="B41" s="23">
        <v>500</v>
      </c>
      <c r="C41" s="7">
        <f>Expenditure!R110</f>
        <v>331.28000000000003</v>
      </c>
      <c r="D41" s="7">
        <f t="shared" si="2"/>
        <v>168.71999999999997</v>
      </c>
    </row>
    <row r="42" spans="1:6" x14ac:dyDescent="0.25">
      <c r="A42" s="21" t="s">
        <v>135</v>
      </c>
      <c r="B42" s="23">
        <v>100</v>
      </c>
      <c r="C42" s="7">
        <f>Expenditure!O110</f>
        <v>104.2</v>
      </c>
      <c r="D42" s="7">
        <f t="shared" si="2"/>
        <v>-4.2000000000000028</v>
      </c>
    </row>
    <row r="43" spans="1:6" x14ac:dyDescent="0.25">
      <c r="A43" s="21" t="s">
        <v>136</v>
      </c>
      <c r="B43" s="23">
        <v>400</v>
      </c>
      <c r="C43" s="7">
        <f>Expenditure!Z110</f>
        <v>49.5</v>
      </c>
      <c r="D43" s="7">
        <f t="shared" si="2"/>
        <v>350.5</v>
      </c>
    </row>
    <row r="44" spans="1:6" x14ac:dyDescent="0.25">
      <c r="A44" s="21" t="s">
        <v>137</v>
      </c>
      <c r="B44" s="23">
        <v>200</v>
      </c>
      <c r="C44" s="7">
        <f>Expenditure!X110</f>
        <v>600</v>
      </c>
      <c r="D44" s="7">
        <f t="shared" si="2"/>
        <v>-400</v>
      </c>
      <c r="F44" t="s">
        <v>275</v>
      </c>
    </row>
    <row r="45" spans="1:6" x14ac:dyDescent="0.25">
      <c r="A45" s="21" t="s">
        <v>138</v>
      </c>
      <c r="B45" s="23">
        <v>200</v>
      </c>
      <c r="C45" s="7">
        <f>Expenditure!N110</f>
        <v>177.01</v>
      </c>
      <c r="D45" s="7">
        <f t="shared" si="2"/>
        <v>22.990000000000009</v>
      </c>
    </row>
    <row r="46" spans="1:6" x14ac:dyDescent="0.25">
      <c r="A46" s="21" t="s">
        <v>139</v>
      </c>
      <c r="B46" s="23">
        <v>0</v>
      </c>
      <c r="C46">
        <v>0</v>
      </c>
      <c r="D46" s="7">
        <f t="shared" si="2"/>
        <v>0</v>
      </c>
    </row>
    <row r="47" spans="1:6" x14ac:dyDescent="0.25">
      <c r="A47" s="21" t="s">
        <v>140</v>
      </c>
      <c r="B47" s="23">
        <v>250</v>
      </c>
      <c r="C47" s="7">
        <f>Expenditure!V110</f>
        <v>40</v>
      </c>
      <c r="D47" s="7">
        <f t="shared" si="2"/>
        <v>210</v>
      </c>
    </row>
    <row r="48" spans="1:6" x14ac:dyDescent="0.25">
      <c r="A48" s="21" t="s">
        <v>149</v>
      </c>
      <c r="B48" s="23">
        <v>0</v>
      </c>
      <c r="C48" s="7">
        <f>Expenditure!Q110</f>
        <v>5582.5</v>
      </c>
      <c r="D48" s="7">
        <f t="shared" si="2"/>
        <v>-5582.5</v>
      </c>
      <c r="F48" t="s">
        <v>148</v>
      </c>
    </row>
    <row r="49" spans="1:4" x14ac:dyDescent="0.25">
      <c r="A49" s="21" t="s">
        <v>150</v>
      </c>
      <c r="B49" s="23">
        <v>0</v>
      </c>
      <c r="C49" s="7">
        <f>Expenditure!Y110</f>
        <v>385.5</v>
      </c>
      <c r="D49" s="7">
        <f t="shared" si="2"/>
        <v>-385.5</v>
      </c>
    </row>
    <row r="50" spans="1:4" x14ac:dyDescent="0.25">
      <c r="A50" s="21" t="s">
        <v>141</v>
      </c>
      <c r="B50" s="29">
        <v>100</v>
      </c>
      <c r="C50" s="34">
        <v>30</v>
      </c>
      <c r="D50" s="35">
        <f t="shared" si="2"/>
        <v>70</v>
      </c>
    </row>
    <row r="51" spans="1:4" x14ac:dyDescent="0.25">
      <c r="A51" s="22" t="s">
        <v>142</v>
      </c>
      <c r="B51" s="30">
        <f>SUM(B19:B50)</f>
        <v>54050</v>
      </c>
      <c r="C51" s="30">
        <f t="shared" ref="C51:D51" si="3">SUM(C19:C50)</f>
        <v>49495.94</v>
      </c>
      <c r="D51" s="30">
        <f t="shared" si="3"/>
        <v>4554.0599999999995</v>
      </c>
    </row>
    <row r="52" spans="1:4" x14ac:dyDescent="0.25">
      <c r="A52" s="22"/>
      <c r="B52" s="20"/>
    </row>
    <row r="53" spans="1:4" x14ac:dyDescent="0.25">
      <c r="A53" s="22"/>
      <c r="B53" s="20"/>
    </row>
    <row r="55" spans="1:4" x14ac:dyDescent="0.25">
      <c r="A55" s="23" t="s">
        <v>114</v>
      </c>
      <c r="B55" s="28">
        <f>B14</f>
        <v>53911</v>
      </c>
      <c r="C55" s="7">
        <f>C14</f>
        <v>60266.44</v>
      </c>
      <c r="D55" s="7">
        <f>D14</f>
        <v>-6105.4400000000005</v>
      </c>
    </row>
    <row r="56" spans="1:4" x14ac:dyDescent="0.25">
      <c r="A56" s="23" t="s">
        <v>142</v>
      </c>
      <c r="B56" s="27">
        <f>B51</f>
        <v>54050</v>
      </c>
      <c r="C56" s="35">
        <f>C51</f>
        <v>49495.94</v>
      </c>
      <c r="D56" s="35">
        <f>D51</f>
        <v>4554.0599999999995</v>
      </c>
    </row>
    <row r="57" spans="1:4" x14ac:dyDescent="0.25">
      <c r="B57" s="28">
        <f>B55-B56</f>
        <v>-139</v>
      </c>
      <c r="C57" s="28">
        <f t="shared" ref="C57" si="4">C55-C56</f>
        <v>10770.5</v>
      </c>
      <c r="D57" s="28">
        <f>D55-D56</f>
        <v>-10659.5</v>
      </c>
    </row>
    <row r="58" spans="1:4" x14ac:dyDescent="0.25">
      <c r="A58" s="21"/>
    </row>
    <row r="59" spans="1:4" x14ac:dyDescent="0.25">
      <c r="A59" s="24"/>
    </row>
    <row r="60" spans="1:4" x14ac:dyDescent="0.25">
      <c r="A60" s="21"/>
    </row>
    <row r="61" spans="1:4" x14ac:dyDescent="0.25">
      <c r="A61" s="21"/>
    </row>
    <row r="62" spans="1:4" x14ac:dyDescent="0.25">
      <c r="A62" s="21"/>
    </row>
    <row r="63" spans="1:4" x14ac:dyDescent="0.25">
      <c r="A63" s="21"/>
    </row>
    <row r="64" spans="1:4" x14ac:dyDescent="0.25">
      <c r="A64" s="21"/>
    </row>
  </sheetData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5" sqref="H15"/>
    </sheetView>
  </sheetViews>
  <sheetFormatPr defaultRowHeight="15" x14ac:dyDescent="0.25"/>
  <cols>
    <col min="1" max="1" width="12.5703125" customWidth="1"/>
    <col min="2" max="2" width="16.140625" bestFit="1" customWidth="1"/>
    <col min="3" max="3" width="21.5703125" customWidth="1"/>
    <col min="4" max="4" width="19.85546875" customWidth="1"/>
    <col min="5" max="5" width="9.140625" style="7"/>
    <col min="6" max="6" width="2.140625" customWidth="1"/>
    <col min="7" max="7" width="13.140625" customWidth="1"/>
    <col min="8" max="8" width="16.140625" bestFit="1" customWidth="1"/>
    <col min="9" max="9" width="24.7109375" customWidth="1"/>
    <col min="10" max="10" width="20.140625" bestFit="1" customWidth="1"/>
  </cols>
  <sheetData>
    <row r="1" spans="1:11" x14ac:dyDescent="0.25">
      <c r="A1" t="s">
        <v>0</v>
      </c>
      <c r="D1" t="s">
        <v>269</v>
      </c>
      <c r="G1" t="s">
        <v>0</v>
      </c>
      <c r="J1" t="s">
        <v>306</v>
      </c>
    </row>
    <row r="3" spans="1:11" s="15" customFormat="1" x14ac:dyDescent="0.25">
      <c r="A3" s="15" t="s">
        <v>212</v>
      </c>
      <c r="B3" s="15" t="s">
        <v>213</v>
      </c>
      <c r="C3" s="15" t="s">
        <v>214</v>
      </c>
      <c r="D3" s="15" t="s">
        <v>215</v>
      </c>
      <c r="E3" s="16" t="s">
        <v>216</v>
      </c>
      <c r="G3" s="15" t="s">
        <v>212</v>
      </c>
      <c r="H3" s="15" t="s">
        <v>213</v>
      </c>
      <c r="I3" s="15" t="s">
        <v>214</v>
      </c>
      <c r="J3" s="15" t="s">
        <v>215</v>
      </c>
      <c r="K3" s="16" t="s">
        <v>216</v>
      </c>
    </row>
    <row r="4" spans="1:11" x14ac:dyDescent="0.25">
      <c r="A4" t="s">
        <v>217</v>
      </c>
      <c r="B4" t="s">
        <v>218</v>
      </c>
      <c r="C4" t="s">
        <v>9</v>
      </c>
      <c r="D4" t="s">
        <v>61</v>
      </c>
      <c r="E4" s="7">
        <v>65.38</v>
      </c>
      <c r="G4" s="6" t="s">
        <v>308</v>
      </c>
      <c r="H4" t="s">
        <v>307</v>
      </c>
      <c r="I4" t="s">
        <v>310</v>
      </c>
      <c r="J4" t="s">
        <v>61</v>
      </c>
      <c r="K4">
        <v>713.63</v>
      </c>
    </row>
    <row r="5" spans="1:11" x14ac:dyDescent="0.25">
      <c r="A5" t="s">
        <v>219</v>
      </c>
      <c r="B5" t="s">
        <v>220</v>
      </c>
      <c r="C5" t="s">
        <v>221</v>
      </c>
      <c r="D5" t="s">
        <v>61</v>
      </c>
      <c r="E5" s="7">
        <v>61.44</v>
      </c>
      <c r="G5" s="6" t="s">
        <v>309</v>
      </c>
      <c r="H5" t="s">
        <v>307</v>
      </c>
      <c r="I5" t="s">
        <v>311</v>
      </c>
      <c r="J5" t="s">
        <v>61</v>
      </c>
      <c r="K5">
        <f>654.4+192</f>
        <v>846.4</v>
      </c>
    </row>
    <row r="6" spans="1:11" x14ac:dyDescent="0.25">
      <c r="A6" t="s">
        <v>222</v>
      </c>
      <c r="B6" t="s">
        <v>223</v>
      </c>
      <c r="C6" t="s">
        <v>224</v>
      </c>
      <c r="D6" t="s">
        <v>61</v>
      </c>
      <c r="E6" s="7">
        <v>39</v>
      </c>
      <c r="G6" t="s">
        <v>312</v>
      </c>
      <c r="H6" t="s">
        <v>223</v>
      </c>
      <c r="I6" t="s">
        <v>224</v>
      </c>
      <c r="J6" t="s">
        <v>61</v>
      </c>
      <c r="K6">
        <v>418.2</v>
      </c>
    </row>
    <row r="7" spans="1:11" x14ac:dyDescent="0.25">
      <c r="A7" t="s">
        <v>225</v>
      </c>
      <c r="B7" t="s">
        <v>256</v>
      </c>
      <c r="C7" t="s">
        <v>28</v>
      </c>
      <c r="D7" t="s">
        <v>61</v>
      </c>
      <c r="E7" s="7">
        <v>8.69</v>
      </c>
      <c r="G7" t="s">
        <v>313</v>
      </c>
      <c r="H7" t="s">
        <v>256</v>
      </c>
      <c r="I7" t="s">
        <v>28</v>
      </c>
      <c r="J7" t="s">
        <v>61</v>
      </c>
      <c r="K7">
        <v>13.34</v>
      </c>
    </row>
    <row r="8" spans="1:11" x14ac:dyDescent="0.25">
      <c r="A8" t="s">
        <v>226</v>
      </c>
      <c r="B8" t="s">
        <v>227</v>
      </c>
      <c r="C8" t="s">
        <v>228</v>
      </c>
      <c r="D8" t="s">
        <v>61</v>
      </c>
      <c r="E8" s="7">
        <v>50</v>
      </c>
      <c r="G8" t="s">
        <v>313</v>
      </c>
      <c r="H8" t="s">
        <v>314</v>
      </c>
      <c r="I8" t="s">
        <v>28</v>
      </c>
      <c r="J8" t="s">
        <v>61</v>
      </c>
      <c r="K8">
        <v>0.53</v>
      </c>
    </row>
    <row r="9" spans="1:11" x14ac:dyDescent="0.25">
      <c r="A9" t="s">
        <v>229</v>
      </c>
      <c r="B9" t="s">
        <v>223</v>
      </c>
      <c r="C9" t="s">
        <v>156</v>
      </c>
      <c r="D9" t="s">
        <v>61</v>
      </c>
      <c r="E9" s="7">
        <v>112.4</v>
      </c>
      <c r="G9" t="s">
        <v>315</v>
      </c>
      <c r="H9" t="s">
        <v>220</v>
      </c>
      <c r="I9" t="s">
        <v>316</v>
      </c>
      <c r="J9" t="s">
        <v>61</v>
      </c>
      <c r="K9">
        <v>61.44</v>
      </c>
    </row>
    <row r="10" spans="1:11" ht="15.75" thickBot="1" x14ac:dyDescent="0.3">
      <c r="A10" t="s">
        <v>230</v>
      </c>
      <c r="B10" t="s">
        <v>223</v>
      </c>
      <c r="C10" t="s">
        <v>156</v>
      </c>
      <c r="D10" t="s">
        <v>61</v>
      </c>
      <c r="E10" s="7">
        <v>56.2</v>
      </c>
      <c r="K10" s="54">
        <f>SUM(K4:K9)</f>
        <v>2053.54</v>
      </c>
    </row>
    <row r="11" spans="1:11" ht="15.75" thickTop="1" x14ac:dyDescent="0.25">
      <c r="A11" t="s">
        <v>231</v>
      </c>
      <c r="B11" t="s">
        <v>223</v>
      </c>
      <c r="C11" t="s">
        <v>224</v>
      </c>
      <c r="D11" t="s">
        <v>61</v>
      </c>
      <c r="E11" s="7">
        <v>11.2</v>
      </c>
    </row>
    <row r="12" spans="1:11" x14ac:dyDescent="0.25">
      <c r="A12" t="s">
        <v>232</v>
      </c>
      <c r="B12" t="s">
        <v>233</v>
      </c>
      <c r="C12" t="s">
        <v>234</v>
      </c>
      <c r="D12" t="s">
        <v>61</v>
      </c>
      <c r="E12" s="7">
        <v>77.099999999999994</v>
      </c>
    </row>
    <row r="13" spans="1:11" x14ac:dyDescent="0.25">
      <c r="A13" t="s">
        <v>235</v>
      </c>
      <c r="B13" t="s">
        <v>236</v>
      </c>
      <c r="C13" t="s">
        <v>237</v>
      </c>
      <c r="D13" t="s">
        <v>61</v>
      </c>
      <c r="E13" s="7">
        <v>12</v>
      </c>
    </row>
    <row r="14" spans="1:11" x14ac:dyDescent="0.25">
      <c r="A14" t="s">
        <v>238</v>
      </c>
      <c r="B14" t="s">
        <v>223</v>
      </c>
      <c r="C14" t="s">
        <v>156</v>
      </c>
      <c r="D14" t="s">
        <v>61</v>
      </c>
      <c r="E14" s="7">
        <v>241.2</v>
      </c>
    </row>
    <row r="15" spans="1:11" x14ac:dyDescent="0.25">
      <c r="A15" t="s">
        <v>239</v>
      </c>
      <c r="B15" t="s">
        <v>240</v>
      </c>
      <c r="C15" t="s">
        <v>224</v>
      </c>
      <c r="D15" t="s">
        <v>61</v>
      </c>
      <c r="E15" s="7">
        <v>22</v>
      </c>
    </row>
    <row r="16" spans="1:11" x14ac:dyDescent="0.25">
      <c r="A16" t="s">
        <v>241</v>
      </c>
      <c r="B16" t="s">
        <v>223</v>
      </c>
      <c r="C16" t="s">
        <v>156</v>
      </c>
      <c r="D16" t="s">
        <v>61</v>
      </c>
      <c r="E16" s="7">
        <v>56.2</v>
      </c>
    </row>
    <row r="17" spans="1:5" x14ac:dyDescent="0.25">
      <c r="A17" t="s">
        <v>242</v>
      </c>
      <c r="B17" t="s">
        <v>243</v>
      </c>
      <c r="C17" t="s">
        <v>224</v>
      </c>
      <c r="D17" t="s">
        <v>61</v>
      </c>
      <c r="E17" s="7">
        <v>19.600000000000001</v>
      </c>
    </row>
    <row r="18" spans="1:5" x14ac:dyDescent="0.25">
      <c r="A18" t="s">
        <v>244</v>
      </c>
      <c r="B18" t="s">
        <v>245</v>
      </c>
      <c r="C18" t="s">
        <v>246</v>
      </c>
      <c r="D18" t="s">
        <v>61</v>
      </c>
      <c r="E18" s="7">
        <v>24.9</v>
      </c>
    </row>
    <row r="19" spans="1:5" x14ac:dyDescent="0.25">
      <c r="A19" t="s">
        <v>247</v>
      </c>
      <c r="B19" t="s">
        <v>223</v>
      </c>
      <c r="C19" t="s">
        <v>156</v>
      </c>
      <c r="D19" t="s">
        <v>61</v>
      </c>
      <c r="E19" s="7">
        <v>56.2</v>
      </c>
    </row>
    <row r="20" spans="1:5" x14ac:dyDescent="0.25">
      <c r="A20" t="s">
        <v>247</v>
      </c>
      <c r="B20" t="s">
        <v>223</v>
      </c>
      <c r="C20" t="s">
        <v>156</v>
      </c>
      <c r="D20" t="s">
        <v>61</v>
      </c>
      <c r="E20" s="7">
        <v>56.2</v>
      </c>
    </row>
    <row r="21" spans="1:5" x14ac:dyDescent="0.25">
      <c r="A21" t="s">
        <v>248</v>
      </c>
      <c r="B21" t="s">
        <v>249</v>
      </c>
      <c r="C21" t="s">
        <v>250</v>
      </c>
      <c r="D21" t="s">
        <v>61</v>
      </c>
      <c r="E21" s="7">
        <f>11121.14-9267.62</f>
        <v>1853.5199999999986</v>
      </c>
    </row>
    <row r="22" spans="1:5" x14ac:dyDescent="0.25">
      <c r="A22" t="s">
        <v>248</v>
      </c>
      <c r="B22" t="s">
        <v>251</v>
      </c>
      <c r="C22" t="s">
        <v>252</v>
      </c>
      <c r="D22" t="s">
        <v>61</v>
      </c>
      <c r="E22" s="7">
        <v>65</v>
      </c>
    </row>
    <row r="23" spans="1:5" x14ac:dyDescent="0.25">
      <c r="A23" t="s">
        <v>253</v>
      </c>
      <c r="B23" t="s">
        <v>223</v>
      </c>
      <c r="C23" t="s">
        <v>224</v>
      </c>
      <c r="D23" t="s">
        <v>61</v>
      </c>
      <c r="E23" s="7">
        <v>101</v>
      </c>
    </row>
    <row r="24" spans="1:5" x14ac:dyDescent="0.25">
      <c r="A24" t="s">
        <v>253</v>
      </c>
      <c r="B24" t="s">
        <v>223</v>
      </c>
      <c r="C24" t="s">
        <v>156</v>
      </c>
      <c r="D24" t="s">
        <v>61</v>
      </c>
      <c r="E24" s="7">
        <v>56.2</v>
      </c>
    </row>
    <row r="25" spans="1:5" x14ac:dyDescent="0.25">
      <c r="A25" t="s">
        <v>254</v>
      </c>
      <c r="B25" t="s">
        <v>223</v>
      </c>
      <c r="C25" t="s">
        <v>156</v>
      </c>
      <c r="D25" t="s">
        <v>61</v>
      </c>
      <c r="E25" s="7">
        <v>56.2</v>
      </c>
    </row>
    <row r="26" spans="1:5" x14ac:dyDescent="0.25">
      <c r="A26" t="s">
        <v>255</v>
      </c>
      <c r="B26" t="s">
        <v>256</v>
      </c>
      <c r="C26" t="s">
        <v>28</v>
      </c>
      <c r="D26" t="s">
        <v>61</v>
      </c>
      <c r="E26" s="7">
        <v>11.17</v>
      </c>
    </row>
    <row r="27" spans="1:5" x14ac:dyDescent="0.25">
      <c r="A27" t="s">
        <v>257</v>
      </c>
      <c r="B27" t="s">
        <v>258</v>
      </c>
      <c r="C27" t="s">
        <v>259</v>
      </c>
      <c r="D27" t="s">
        <v>61</v>
      </c>
      <c r="E27" s="7">
        <v>24</v>
      </c>
    </row>
    <row r="28" spans="1:5" x14ac:dyDescent="0.25">
      <c r="A28" t="s">
        <v>260</v>
      </c>
      <c r="B28" t="s">
        <v>261</v>
      </c>
      <c r="C28" t="s">
        <v>179</v>
      </c>
      <c r="D28" t="s">
        <v>61</v>
      </c>
      <c r="E28" s="7">
        <v>102</v>
      </c>
    </row>
    <row r="29" spans="1:5" x14ac:dyDescent="0.25">
      <c r="A29" t="s">
        <v>262</v>
      </c>
      <c r="B29" t="s">
        <v>258</v>
      </c>
      <c r="C29" t="s">
        <v>259</v>
      </c>
      <c r="D29" t="s">
        <v>61</v>
      </c>
      <c r="E29" s="7">
        <v>24</v>
      </c>
    </row>
    <row r="30" spans="1:5" x14ac:dyDescent="0.25">
      <c r="A30" t="s">
        <v>262</v>
      </c>
      <c r="B30" t="s">
        <v>223</v>
      </c>
      <c r="C30" t="s">
        <v>156</v>
      </c>
      <c r="D30" t="s">
        <v>61</v>
      </c>
      <c r="E30" s="7">
        <v>56.2</v>
      </c>
    </row>
    <row r="31" spans="1:5" x14ac:dyDescent="0.25">
      <c r="A31" t="s">
        <v>263</v>
      </c>
      <c r="B31" t="s">
        <v>264</v>
      </c>
      <c r="C31" t="s">
        <v>265</v>
      </c>
      <c r="D31" t="s">
        <v>61</v>
      </c>
      <c r="E31" s="7">
        <v>16.66</v>
      </c>
    </row>
    <row r="32" spans="1:5" x14ac:dyDescent="0.25">
      <c r="A32" t="s">
        <v>266</v>
      </c>
      <c r="B32" t="s">
        <v>267</v>
      </c>
      <c r="C32" t="s">
        <v>268</v>
      </c>
      <c r="D32" t="s">
        <v>61</v>
      </c>
      <c r="E32" s="7">
        <v>240</v>
      </c>
    </row>
    <row r="33" spans="5:5" ht="15.75" thickBot="1" x14ac:dyDescent="0.3">
      <c r="E33" s="14">
        <f>SUM(E4:E32)</f>
        <v>3575.659999999998</v>
      </c>
    </row>
    <row r="34" spans="5:5" ht="15.75" thickTop="1" x14ac:dyDescent="0.25"/>
  </sheetData>
  <pageMargins left="0.7" right="0.7" top="0.75" bottom="0.75" header="0.3" footer="0.3"/>
  <pageSetup paperSize="9" orientation="portrait" r:id="rId1"/>
  <rowBreaks count="1" manualBreakCount="1">
    <brk id="9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H13" sqref="H13"/>
    </sheetView>
  </sheetViews>
  <sheetFormatPr defaultRowHeight="15" x14ac:dyDescent="0.25"/>
  <cols>
    <col min="2" max="2" width="12.42578125" customWidth="1"/>
    <col min="7" max="8" width="9.5703125" style="7" bestFit="1" customWidth="1"/>
  </cols>
  <sheetData>
    <row r="1" spans="1:8" x14ac:dyDescent="0.25">
      <c r="A1" s="15" t="s">
        <v>0</v>
      </c>
      <c r="D1" s="59" t="s">
        <v>318</v>
      </c>
    </row>
    <row r="3" spans="1:8" x14ac:dyDescent="0.25">
      <c r="A3" s="15" t="s">
        <v>278</v>
      </c>
    </row>
    <row r="5" spans="1:8" x14ac:dyDescent="0.25">
      <c r="A5" t="s">
        <v>317</v>
      </c>
    </row>
    <row r="6" spans="1:8" x14ac:dyDescent="0.25">
      <c r="A6" t="s">
        <v>287</v>
      </c>
      <c r="G6" s="7">
        <v>53170.34</v>
      </c>
    </row>
    <row r="7" spans="1:8" x14ac:dyDescent="0.25">
      <c r="A7" t="s">
        <v>288</v>
      </c>
      <c r="G7" s="7">
        <v>6648.58</v>
      </c>
    </row>
    <row r="8" spans="1:8" x14ac:dyDescent="0.25">
      <c r="A8" t="s">
        <v>102</v>
      </c>
      <c r="G8" s="7">
        <v>14070.54</v>
      </c>
    </row>
    <row r="9" spans="1:8" x14ac:dyDescent="0.25">
      <c r="A9" t="s">
        <v>279</v>
      </c>
      <c r="G9" s="7">
        <v>104356.95</v>
      </c>
    </row>
    <row r="10" spans="1:8" x14ac:dyDescent="0.25">
      <c r="A10" t="s">
        <v>280</v>
      </c>
      <c r="G10" s="35">
        <v>1559.99</v>
      </c>
      <c r="H10" s="35">
        <f>SUM(G6:G10)</f>
        <v>179806.39999999997</v>
      </c>
    </row>
    <row r="14" spans="1:8" x14ac:dyDescent="0.25">
      <c r="A14" t="s">
        <v>281</v>
      </c>
    </row>
    <row r="15" spans="1:8" x14ac:dyDescent="0.25">
      <c r="C15" t="s">
        <v>292</v>
      </c>
    </row>
    <row r="17" spans="1:13" x14ac:dyDescent="0.25">
      <c r="A17" t="s">
        <v>299</v>
      </c>
      <c r="C17">
        <v>98</v>
      </c>
      <c r="G17" s="53"/>
      <c r="H17" s="35">
        <v>200</v>
      </c>
    </row>
    <row r="20" spans="1:13" x14ac:dyDescent="0.25">
      <c r="A20" t="s">
        <v>282</v>
      </c>
    </row>
    <row r="21" spans="1:13" x14ac:dyDescent="0.25">
      <c r="J21" s="7"/>
    </row>
    <row r="24" spans="1:13" ht="15.75" thickBot="1" x14ac:dyDescent="0.3">
      <c r="A24" t="s">
        <v>305</v>
      </c>
      <c r="H24" s="14">
        <f>H10-H17</f>
        <v>179606.39999999997</v>
      </c>
      <c r="L24" s="7"/>
    </row>
    <row r="25" spans="1:13" ht="15.75" thickTop="1" x14ac:dyDescent="0.25">
      <c r="K25" s="7"/>
      <c r="L25" s="7"/>
    </row>
    <row r="26" spans="1:13" x14ac:dyDescent="0.25">
      <c r="L26" s="7"/>
    </row>
    <row r="28" spans="1:13" x14ac:dyDescent="0.25">
      <c r="A28" s="40" t="s">
        <v>283</v>
      </c>
      <c r="H28" s="7">
        <v>168569.1</v>
      </c>
      <c r="M28" s="7"/>
    </row>
    <row r="29" spans="1:13" x14ac:dyDescent="0.25">
      <c r="A29" t="s">
        <v>284</v>
      </c>
      <c r="H29" s="7">
        <f>Income!J39</f>
        <v>64113.460000000006</v>
      </c>
      <c r="L29" s="7"/>
    </row>
    <row r="30" spans="1:13" x14ac:dyDescent="0.25">
      <c r="A30" t="s">
        <v>285</v>
      </c>
      <c r="H30" s="7">
        <f>Expenditure!E110-400</f>
        <v>53076.159999999989</v>
      </c>
      <c r="J30" s="7"/>
    </row>
    <row r="31" spans="1:13" ht="15.75" thickBot="1" x14ac:dyDescent="0.3">
      <c r="A31" t="s">
        <v>286</v>
      </c>
      <c r="H31" s="14">
        <f>H28+H29-H30</f>
        <v>179606.40000000002</v>
      </c>
    </row>
    <row r="32" spans="1:13" ht="15.75" thickTop="1" x14ac:dyDescent="0.25">
      <c r="K3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Expenditure</vt:lpstr>
      <vt:lpstr>Budget</vt:lpstr>
      <vt:lpstr>VAT</vt:lpstr>
      <vt:lpstr>Bank Rec.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Dunholme Parish Council</dc:creator>
  <cp:lastModifiedBy>Scothern Parish Council</cp:lastModifiedBy>
  <cp:lastPrinted>2018-05-24T11:34:42Z</cp:lastPrinted>
  <dcterms:created xsi:type="dcterms:W3CDTF">2017-04-12T17:17:37Z</dcterms:created>
  <dcterms:modified xsi:type="dcterms:W3CDTF">2018-05-24T11:35:06Z</dcterms:modified>
</cp:coreProperties>
</file>